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S:\Camp Hill Data\Ranee Buck\MISC from Jerry\"/>
    </mc:Choice>
  </mc:AlternateContent>
  <xr:revisionPtr revIDLastSave="0" documentId="13_ncr:1_{4AE011C1-A3ED-4E8B-A450-75107B2D16D1}" xr6:coauthVersionLast="45" xr6:coauthVersionMax="45" xr10:uidLastSave="{00000000-0000-0000-0000-000000000000}"/>
  <workbookProtection workbookAlgorithmName="SHA-512" workbookHashValue="IHvg4K1BHzXbLsd/FhgRHcMGng5MGDT5Yjk3IyTzIBIZTx4/G5UCZBKjvmQJq7L6KqSBY+AhGm66j7c3mFovew==" workbookSaltValue="af94xZUvp9vKT2nB8/BOsQ==" workbookSpinCount="100000" lockStructure="1"/>
  <bookViews>
    <workbookView showHorizontalScroll="0" showVerticalScroll="0" xWindow="-120" yWindow="-120" windowWidth="29040" windowHeight="15480" tabRatio="637" xr2:uid="{00000000-000D-0000-FFFF-FFFF00000000}"/>
  </bookViews>
  <sheets>
    <sheet name="SWMS" sheetId="15" r:id="rId1"/>
    <sheet name="Data" sheetId="17" state="hidden" r:id="rId2"/>
  </sheets>
  <definedNames>
    <definedName name="Bedding">Data!$F$18:$F$21</definedName>
    <definedName name="_xlnm.Print_Area" localSheetId="1">Data!#REF!</definedName>
    <definedName name="_xlnm.Print_Area" localSheetId="0">SWMS!$C$1:$N$54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5" l="1"/>
  <c r="C13" i="15"/>
  <c r="O12" i="17" l="1"/>
  <c r="J12" i="17"/>
  <c r="I12" i="17"/>
  <c r="H12" i="17"/>
  <c r="E12" i="17"/>
  <c r="C12" i="17"/>
  <c r="G12" i="17" s="1"/>
  <c r="H14" i="15" l="1"/>
  <c r="B21" i="15"/>
  <c r="H12" i="15"/>
  <c r="D12" i="15"/>
  <c r="G6" i="15"/>
  <c r="G5" i="15"/>
  <c r="H4" i="15"/>
  <c r="G13" i="15" l="1"/>
  <c r="G12" i="15"/>
  <c r="G7" i="15"/>
  <c r="G4" i="15"/>
  <c r="C28" i="15" l="1"/>
  <c r="G27" i="15"/>
  <c r="H15" i="15" l="1"/>
  <c r="C27" i="15"/>
  <c r="H23" i="15" l="1"/>
  <c r="H13" i="15"/>
  <c r="G11" i="15" l="1"/>
  <c r="D19" i="15" s="1"/>
  <c r="O5" i="17"/>
  <c r="O6" i="17"/>
  <c r="J5" i="17"/>
  <c r="I5" i="17"/>
  <c r="H5" i="17"/>
  <c r="E5" i="17"/>
  <c r="C5" i="17"/>
  <c r="C6" i="17"/>
  <c r="J6" i="17"/>
  <c r="I6" i="17"/>
  <c r="H6" i="17"/>
  <c r="G6" i="17"/>
  <c r="E6" i="17"/>
  <c r="C7" i="17"/>
  <c r="G7" i="17" s="1"/>
  <c r="G15" i="15"/>
  <c r="E7" i="17"/>
  <c r="O7" i="17"/>
  <c r="J7" i="17"/>
  <c r="I7" i="17"/>
  <c r="H7" i="17"/>
  <c r="E13" i="17"/>
  <c r="G9" i="15" s="1"/>
  <c r="G14" i="15" s="1"/>
  <c r="E11" i="17"/>
  <c r="E10" i="17"/>
  <c r="E9" i="17"/>
  <c r="E8" i="17"/>
  <c r="O13" i="17"/>
  <c r="O11" i="17"/>
  <c r="O10" i="17"/>
  <c r="O9" i="17"/>
  <c r="O8" i="17"/>
  <c r="C13" i="17"/>
  <c r="G8" i="15" s="1"/>
  <c r="G10" i="15" s="1"/>
  <c r="H13" i="17"/>
  <c r="H11" i="17"/>
  <c r="H10" i="17"/>
  <c r="H9" i="17"/>
  <c r="H8" i="17"/>
  <c r="J13" i="17"/>
  <c r="J11" i="17"/>
  <c r="J10" i="17"/>
  <c r="J9" i="17"/>
  <c r="J8" i="17"/>
  <c r="I13" i="17"/>
  <c r="I11" i="17"/>
  <c r="I10" i="17"/>
  <c r="I9" i="17"/>
  <c r="I8" i="17"/>
  <c r="C11" i="17"/>
  <c r="G11" i="17" s="1"/>
  <c r="C10" i="17"/>
  <c r="G10" i="17" s="1"/>
  <c r="C8" i="17"/>
  <c r="G8" i="17" s="1"/>
  <c r="C9" i="17"/>
  <c r="G9" i="17" s="1"/>
  <c r="G5" i="17"/>
  <c r="G13" i="17" l="1"/>
  <c r="G16" i="15"/>
  <c r="G19" i="15" s="1"/>
  <c r="C40" i="15" s="1"/>
  <c r="C19" i="15"/>
  <c r="C16" i="15"/>
  <c r="G17" i="15" l="1"/>
  <c r="G18" i="15" s="1"/>
  <c r="G22" i="15" s="1"/>
  <c r="N40" i="15"/>
  <c r="G20" i="15" l="1"/>
  <c r="G21" i="15" s="1"/>
  <c r="H31" i="15"/>
  <c r="M28" i="15" s="1"/>
  <c r="H52" i="15" l="1"/>
  <c r="M27" i="15" s="1"/>
  <c r="G23" i="15"/>
  <c r="G24" i="15" s="1"/>
</calcChain>
</file>

<file path=xl/sharedStrings.xml><?xml version="1.0" encoding="utf-8"?>
<sst xmlns="http://schemas.openxmlformats.org/spreadsheetml/2006/main" count="86" uniqueCount="80">
  <si>
    <t>Pipe Diameter</t>
  </si>
  <si>
    <t>Area</t>
  </si>
  <si>
    <t>(sf)</t>
  </si>
  <si>
    <t>Manifold Length (ft)</t>
  </si>
  <si>
    <t>Detention</t>
  </si>
  <si>
    <t>Retention</t>
  </si>
  <si>
    <t>ASTM</t>
  </si>
  <si>
    <t>AASHTO</t>
  </si>
  <si>
    <t>Cover (ft)</t>
  </si>
  <si>
    <t>Minimum</t>
  </si>
  <si>
    <t>Spacing (ft)</t>
  </si>
  <si>
    <t>Minimum Spacing (ft)</t>
  </si>
  <si>
    <t>Excavation Width (ft)</t>
  </si>
  <si>
    <t>Total Pipe Length (ft)</t>
  </si>
  <si>
    <t>Excavation Length (ft)</t>
  </si>
  <si>
    <t>Storage Depth (ft)</t>
  </si>
  <si>
    <t>Backfill Void Ratio</t>
  </si>
  <si>
    <t>Lateral Length (ft)</t>
  </si>
  <si>
    <t>Stub</t>
  </si>
  <si>
    <t>ft</t>
  </si>
  <si>
    <t>in</t>
  </si>
  <si>
    <t>dia</t>
  </si>
  <si>
    <t>spacing</t>
  </si>
  <si>
    <r>
      <t>1' - 7¼</t>
    </r>
    <r>
      <rPr>
        <sz val="10"/>
        <rFont val="Arial"/>
        <family val="2"/>
      </rPr>
      <t>″</t>
    </r>
  </si>
  <si>
    <r>
      <t>1' - 9</t>
    </r>
    <r>
      <rPr>
        <sz val="10"/>
        <rFont val="Arial"/>
        <family val="2"/>
      </rPr>
      <t>½″</t>
    </r>
  </si>
  <si>
    <r>
      <t>1' - 11</t>
    </r>
    <r>
      <rPr>
        <sz val="10"/>
        <rFont val="Arial"/>
        <family val="2"/>
      </rPr>
      <t>″</t>
    </r>
  </si>
  <si>
    <r>
      <t>2' - 3¼</t>
    </r>
    <r>
      <rPr>
        <sz val="10"/>
        <rFont val="Arial"/>
        <family val="2"/>
      </rPr>
      <t>″</t>
    </r>
  </si>
  <si>
    <r>
      <t>1' - 8¼</t>
    </r>
    <r>
      <rPr>
        <sz val="10"/>
        <rFont val="Arial"/>
        <family val="2"/>
      </rPr>
      <t>″</t>
    </r>
  </si>
  <si>
    <t>nom</t>
  </si>
  <si>
    <t>stub</t>
  </si>
  <si>
    <t>spacing (ft)</t>
  </si>
  <si>
    <t>stub spacing</t>
  </si>
  <si>
    <t>OD (in)</t>
  </si>
  <si>
    <t>OD (ft)</t>
  </si>
  <si>
    <t>ID (in)</t>
  </si>
  <si>
    <t>ID (ft)</t>
  </si>
  <si>
    <t>Bedding</t>
  </si>
  <si>
    <t>Depth (ft)</t>
  </si>
  <si>
    <t>Pipe ID (ft)</t>
  </si>
  <si>
    <t>Pipe OD (ft)</t>
  </si>
  <si>
    <t>Stub Spacing (ft)</t>
  </si>
  <si>
    <r>
      <t>1' - 2</t>
    </r>
    <r>
      <rPr>
        <sz val="10"/>
        <rFont val="Arial"/>
        <family val="2"/>
      </rPr>
      <t>″</t>
    </r>
  </si>
  <si>
    <r>
      <t>1' - 1</t>
    </r>
    <r>
      <rPr>
        <sz val="10"/>
        <rFont val="Arial"/>
        <family val="2"/>
      </rPr>
      <t>½</t>
    </r>
    <r>
      <rPr>
        <sz val="8.5"/>
        <rFont val="Arial"/>
        <family val="2"/>
      </rPr>
      <t>"</t>
    </r>
  </si>
  <si>
    <t>0.75'</t>
  </si>
  <si>
    <t>SWMS Type</t>
  </si>
  <si>
    <t>No. of Laterals</t>
  </si>
  <si>
    <r>
      <t>Storage Volume Required (ft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</si>
  <si>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r>
      <t>Cross-Sectional Area of Pipe (ft</t>
    </r>
    <r>
      <rPr>
        <b/>
        <vertAlign val="super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)</t>
    </r>
  </si>
  <si>
    <r>
      <t>Stone Required (yd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</si>
  <si>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r>
      <t>Pipe Storage Volume Provided (ft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</si>
  <si>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r>
      <t>Stone Storage Volume Provided (ft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</si>
  <si>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r>
      <t>Total Volume Provided (ft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</si>
  <si>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r>
      <t>Cross-sectional area (ft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 is the same as the volume per foot of pipe (ft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/ft).</t>
    </r>
  </si>
  <si>
    <t xml:space="preserve">Excavation </t>
  </si>
  <si>
    <t>Width (ft)</t>
  </si>
  <si>
    <t>System</t>
  </si>
  <si>
    <t>System Length (ft)</t>
  </si>
  <si>
    <t>-in Diameter Corrugated HDPE</t>
  </si>
  <si>
    <t>Laterals</t>
  </si>
  <si>
    <t>Includes the AASHTO minimum distance between pipe and trench wall.</t>
  </si>
  <si>
    <t>Excavation Footprint</t>
  </si>
  <si>
    <t>System Footprint</t>
  </si>
  <si>
    <t>sf</t>
  </si>
  <si>
    <t>above dimensions in feet</t>
  </si>
  <si>
    <t>Total amount of stone if backfilling to a height of 1-ft above top of pipe (recommended).</t>
  </si>
  <si>
    <t>Length of each lateral between manifolds.</t>
  </si>
  <si>
    <t>1. Choose the type of SWMS</t>
  </si>
  <si>
    <t>Pipe Diameter (in)</t>
  </si>
  <si>
    <t>STORM WATER MANAGEMENT SYSTEM (SWMS) PIPE LAYOUT &amp; SYSTEM DATA</t>
  </si>
  <si>
    <t>Corrugated HDPE Pipe</t>
  </si>
  <si>
    <r>
      <t>2. Type in below the total amount of storage volume required (ft</t>
    </r>
    <r>
      <rPr>
        <b/>
        <sz val="10"/>
        <rFont val="Calibri"/>
        <family val="2"/>
      </rPr>
      <t>³</t>
    </r>
    <r>
      <rPr>
        <b/>
        <sz val="10"/>
        <rFont val="Calibri"/>
        <family val="2"/>
        <scheme val="minor"/>
      </rPr>
      <t>)</t>
    </r>
  </si>
  <si>
    <t>3. Choose pipe diameter (in)</t>
  </si>
  <si>
    <t>4. Choose the number of laterals</t>
  </si>
  <si>
    <t>5. Choose bedding depth (ft)</t>
  </si>
  <si>
    <t>A simplified system is rectangular with two manifolds (see sketch below).</t>
  </si>
  <si>
    <t>Simplified Storm Water Management System Notes</t>
  </si>
  <si>
    <t>Entire SWMS of the same size pipe (manifolds/laterals of same diameter).</t>
  </si>
  <si>
    <t>Clear distance between sides of pipe.</t>
  </si>
  <si>
    <t>Theoretical length of pipe needed for the entire SWMS (manifolds and laterals).</t>
  </si>
  <si>
    <t>Bedding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</si>
</sst>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sz val="8.5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8" fillId="2" borderId="0" xfId="0" applyFont="1" applyFill="1" applyProtection="1"/>
    <xf numFmtId="0" fontId="8" fillId="2" borderId="0" xfId="0" applyFont="1" applyFill="1" applyBorder="1" applyProtection="1"/>
    <xf numFmtId="0" fontId="8" fillId="3" borderId="0" xfId="0" applyFont="1" applyFill="1" applyBorder="1" applyProtection="1"/>
    <xf numFmtId="0" fontId="8" fillId="3" borderId="0" xfId="0" applyFont="1" applyFill="1" applyProtection="1"/>
    <xf numFmtId="0" fontId="8" fillId="2" borderId="0" xfId="0" applyFont="1" applyFill="1" applyBorder="1" applyAlignment="1" applyProtection="1">
      <alignment vertical="center" wrapText="1"/>
    </xf>
    <xf numFmtId="0" fontId="8" fillId="3" borderId="0" xfId="0" applyFont="1" applyFill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left" indent="1"/>
    </xf>
    <xf numFmtId="0" fontId="8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left"/>
    </xf>
    <xf numFmtId="0" fontId="9" fillId="3" borderId="0" xfId="0" applyFont="1" applyFill="1" applyBorder="1" applyAlignment="1" applyProtection="1">
      <alignment horizontal="right"/>
    </xf>
    <xf numFmtId="2" fontId="9" fillId="3" borderId="0" xfId="0" applyNumberFormat="1" applyFont="1" applyFill="1" applyBorder="1" applyAlignment="1" applyProtection="1">
      <alignment horizontal="center"/>
    </xf>
    <xf numFmtId="2" fontId="9" fillId="3" borderId="0" xfId="0" applyNumberFormat="1" applyFont="1" applyFill="1" applyBorder="1" applyAlignment="1" applyProtection="1">
      <alignment horizontal="center" vertical="center"/>
    </xf>
    <xf numFmtId="2" fontId="9" fillId="3" borderId="0" xfId="0" applyNumberFormat="1" applyFont="1" applyFill="1" applyBorder="1" applyAlignment="1" applyProtection="1">
      <alignment horizontal="left" vertical="center" indent="1"/>
    </xf>
    <xf numFmtId="0" fontId="10" fillId="3" borderId="0" xfId="0" applyFont="1" applyFill="1" applyAlignment="1" applyProtection="1">
      <alignment horizontal="right"/>
    </xf>
    <xf numFmtId="0" fontId="10" fillId="3" borderId="0" xfId="0" quotePrefix="1" applyFont="1" applyFill="1" applyAlignment="1" applyProtection="1">
      <alignment horizontal="left"/>
    </xf>
    <xf numFmtId="0" fontId="10" fillId="3" borderId="0" xfId="0" applyFont="1" applyFill="1" applyAlignment="1" applyProtection="1">
      <alignment horizontal="left"/>
    </xf>
    <xf numFmtId="0" fontId="10" fillId="3" borderId="0" xfId="0" applyFont="1" applyFill="1" applyProtection="1"/>
    <xf numFmtId="1" fontId="10" fillId="3" borderId="0" xfId="0" applyNumberFormat="1" applyFont="1" applyFill="1" applyAlignment="1" applyProtection="1">
      <alignment horizontal="right"/>
    </xf>
    <xf numFmtId="0" fontId="8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/>
    <xf numFmtId="4" fontId="9" fillId="3" borderId="0" xfId="0" applyNumberFormat="1" applyFont="1" applyFill="1" applyBorder="1" applyAlignment="1" applyProtection="1">
      <alignment horizontal="left" indent="1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/>
    </xf>
    <xf numFmtId="0" fontId="13" fillId="3" borderId="0" xfId="0" applyFont="1" applyFill="1" applyAlignment="1">
      <alignment vertical="center" wrapText="1"/>
    </xf>
    <xf numFmtId="0" fontId="10" fillId="3" borderId="0" xfId="0" applyFont="1" applyFill="1" applyBorder="1" applyAlignment="1" applyProtection="1">
      <alignment horizontal="left" indent="1"/>
    </xf>
    <xf numFmtId="0" fontId="8" fillId="3" borderId="0" xfId="0" applyFont="1" applyFill="1" applyBorder="1" applyAlignment="1" applyProtection="1">
      <alignment vertical="center" wrapText="1"/>
    </xf>
    <xf numFmtId="2" fontId="8" fillId="3" borderId="0" xfId="0" applyNumberFormat="1" applyFont="1" applyFill="1" applyBorder="1" applyAlignment="1" applyProtection="1">
      <alignment horizontal="left" indent="1"/>
    </xf>
    <xf numFmtId="165" fontId="8" fillId="3" borderId="0" xfId="0" applyNumberFormat="1" applyFont="1" applyFill="1" applyBorder="1" applyProtection="1"/>
    <xf numFmtId="164" fontId="8" fillId="3" borderId="0" xfId="0" applyNumberFormat="1" applyFont="1" applyFill="1" applyBorder="1" applyAlignment="1" applyProtection="1">
      <alignment horizontal="left" indent="1"/>
    </xf>
    <xf numFmtId="165" fontId="8" fillId="3" borderId="0" xfId="0" applyNumberFormat="1" applyFont="1" applyFill="1" applyBorder="1" applyAlignment="1" applyProtection="1">
      <alignment horizontal="left" indent="1"/>
    </xf>
    <xf numFmtId="0" fontId="8" fillId="3" borderId="0" xfId="0" applyFont="1" applyFill="1" applyAlignment="1" applyProtection="1">
      <alignment horizontal="left" indent="1"/>
    </xf>
    <xf numFmtId="9" fontId="8" fillId="3" borderId="0" xfId="0" applyNumberFormat="1" applyFont="1" applyFill="1" applyBorder="1" applyAlignment="1" applyProtection="1">
      <alignment horizontal="left" indent="1"/>
    </xf>
    <xf numFmtId="2" fontId="8" fillId="3" borderId="0" xfId="0" applyNumberFormat="1" applyFont="1" applyFill="1" applyAlignment="1" applyProtection="1">
      <alignment horizontal="left" vertical="center" indent="1"/>
    </xf>
    <xf numFmtId="164" fontId="8" fillId="3" borderId="0" xfId="0" applyNumberFormat="1" applyFont="1" applyFill="1" applyAlignment="1" applyProtection="1">
      <alignment horizontal="right" vertical="top" indent="1"/>
    </xf>
    <xf numFmtId="2" fontId="8" fillId="3" borderId="0" xfId="0" applyNumberFormat="1" applyFont="1" applyFill="1" applyAlignment="1" applyProtection="1">
      <alignment horizontal="left" vertical="top" indent="3"/>
    </xf>
    <xf numFmtId="1" fontId="8" fillId="3" borderId="0" xfId="0" applyNumberFormat="1" applyFont="1" applyFill="1" applyBorder="1" applyAlignment="1" applyProtection="1">
      <alignment horizontal="left" indent="1"/>
    </xf>
    <xf numFmtId="166" fontId="9" fillId="3" borderId="0" xfId="0" applyNumberFormat="1" applyFont="1" applyFill="1" applyBorder="1" applyAlignment="1" applyProtection="1">
      <alignment horizontal="left" indent="1"/>
    </xf>
    <xf numFmtId="1" fontId="8" fillId="3" borderId="0" xfId="0" applyNumberFormat="1" applyFont="1" applyFill="1" applyBorder="1" applyAlignment="1" applyProtection="1">
      <alignment horizontal="left"/>
    </xf>
    <xf numFmtId="0" fontId="8" fillId="2" borderId="18" xfId="0" applyFont="1" applyFill="1" applyBorder="1" applyProtection="1"/>
    <xf numFmtId="0" fontId="9" fillId="2" borderId="19" xfId="0" applyFont="1" applyFill="1" applyBorder="1" applyAlignment="1" applyProtection="1">
      <alignment horizontal="left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right" indent="2"/>
      <protection locked="0"/>
    </xf>
    <xf numFmtId="0" fontId="8" fillId="2" borderId="21" xfId="0" applyFont="1" applyFill="1" applyBorder="1" applyAlignment="1" applyProtection="1">
      <alignment horizontal="center" vertical="center"/>
    </xf>
    <xf numFmtId="0" fontId="8" fillId="2" borderId="20" xfId="0" applyFont="1" applyFill="1" applyBorder="1" applyProtection="1"/>
    <xf numFmtId="4" fontId="9" fillId="2" borderId="21" xfId="0" applyNumberFormat="1" applyFont="1" applyFill="1" applyBorder="1" applyAlignment="1" applyProtection="1">
      <alignment horizontal="right" indent="2"/>
      <protection locked="0"/>
    </xf>
    <xf numFmtId="0" fontId="8" fillId="2" borderId="21" xfId="0" applyFont="1" applyFill="1" applyBorder="1" applyProtection="1"/>
    <xf numFmtId="0" fontId="9" fillId="2" borderId="21" xfId="0" applyFont="1" applyFill="1" applyBorder="1" applyAlignment="1" applyProtection="1">
      <alignment horizontal="left"/>
    </xf>
    <xf numFmtId="0" fontId="14" fillId="2" borderId="21" xfId="0" applyFont="1" applyFill="1" applyBorder="1" applyProtection="1"/>
    <xf numFmtId="0" fontId="9" fillId="2" borderId="21" xfId="0" applyFont="1" applyFill="1" applyBorder="1" applyProtection="1"/>
    <xf numFmtId="0" fontId="8" fillId="2" borderId="22" xfId="0" applyFont="1" applyFill="1" applyBorder="1" applyProtection="1"/>
    <xf numFmtId="0" fontId="8" fillId="2" borderId="23" xfId="0" applyFont="1" applyFill="1" applyBorder="1" applyProtection="1"/>
    <xf numFmtId="0" fontId="9" fillId="3" borderId="0" xfId="0" applyFont="1" applyFill="1" applyBorder="1" applyAlignment="1" applyProtection="1">
      <alignment horizontal="right"/>
    </xf>
    <xf numFmtId="2" fontId="9" fillId="2" borderId="21" xfId="0" applyNumberFormat="1" applyFont="1" applyFill="1" applyBorder="1" applyAlignment="1" applyProtection="1">
      <alignment horizontal="right" indent="2"/>
      <protection locked="0"/>
    </xf>
    <xf numFmtId="0" fontId="18" fillId="3" borderId="0" xfId="0" applyFont="1" applyFill="1" applyBorder="1" applyAlignment="1" applyProtection="1">
      <alignment horizontal="left" indent="1"/>
    </xf>
    <xf numFmtId="0" fontId="18" fillId="3" borderId="0" xfId="0" applyFont="1" applyFill="1" applyBorder="1" applyAlignment="1" applyProtection="1"/>
    <xf numFmtId="0" fontId="18" fillId="3" borderId="0" xfId="0" applyFont="1" applyFill="1" applyProtection="1"/>
    <xf numFmtId="0" fontId="19" fillId="3" borderId="0" xfId="0" applyFont="1" applyFill="1" applyAlignment="1" applyProtection="1">
      <alignment horizontal="right" vertical="top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13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0" fontId="3" fillId="0" borderId="12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0" fontId="0" fillId="0" borderId="7" xfId="0" applyFill="1" applyBorder="1" applyAlignment="1" applyProtection="1">
      <alignment horizontal="center"/>
      <protection hidden="1"/>
    </xf>
    <xf numFmtId="2" fontId="0" fillId="0" borderId="7" xfId="0" applyNumberFormat="1" applyFill="1" applyBorder="1" applyAlignment="1" applyProtection="1">
      <alignment horizontal="center"/>
      <protection hidden="1"/>
    </xf>
    <xf numFmtId="164" fontId="0" fillId="0" borderId="7" xfId="0" applyNumberFormat="1" applyFill="1" applyBorder="1" applyAlignment="1" applyProtection="1">
      <alignment horizontal="center"/>
      <protection hidden="1"/>
    </xf>
    <xf numFmtId="164" fontId="0" fillId="0" borderId="5" xfId="0" applyNumberFormat="1" applyFill="1" applyBorder="1" applyAlignment="1" applyProtection="1">
      <alignment horizontal="center"/>
      <protection hidden="1"/>
    </xf>
    <xf numFmtId="0" fontId="0" fillId="0" borderId="5" xfId="0" applyFill="1" applyBorder="1" applyAlignment="1" applyProtection="1">
      <alignment horizontal="center"/>
      <protection hidden="1"/>
    </xf>
    <xf numFmtId="2" fontId="0" fillId="0" borderId="5" xfId="0" applyNumberForma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8" xfId="0" applyFont="1" applyFill="1" applyBorder="1" applyAlignment="1" applyProtection="1">
      <alignment horizontal="center"/>
      <protection hidden="1"/>
    </xf>
    <xf numFmtId="165" fontId="0" fillId="0" borderId="5" xfId="0" applyNumberFormat="1" applyFill="1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alignment horizontal="center"/>
      <protection hidden="1"/>
    </xf>
    <xf numFmtId="0" fontId="0" fillId="0" borderId="11" xfId="0" applyFill="1" applyBorder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0" fillId="0" borderId="3" xfId="0" applyFill="1" applyBorder="1" applyAlignment="1" applyProtection="1">
      <alignment horizontal="center"/>
      <protection hidden="1"/>
    </xf>
    <xf numFmtId="2" fontId="0" fillId="0" borderId="3" xfId="0" applyNumberFormat="1" applyFill="1" applyBorder="1" applyAlignment="1" applyProtection="1">
      <alignment horizontal="center"/>
      <protection hidden="1"/>
    </xf>
    <xf numFmtId="165" fontId="0" fillId="0" borderId="3" xfId="0" applyNumberFormat="1" applyFill="1" applyBorder="1" applyAlignment="1" applyProtection="1">
      <alignment horizontal="center"/>
      <protection hidden="1"/>
    </xf>
    <xf numFmtId="164" fontId="0" fillId="0" borderId="3" xfId="0" applyNumberFormat="1" applyFill="1" applyBorder="1" applyAlignment="1" applyProtection="1">
      <alignment horizontal="center"/>
      <protection hidden="1"/>
    </xf>
    <xf numFmtId="0" fontId="0" fillId="0" borderId="12" xfId="0" applyFill="1" applyBorder="1" applyAlignment="1" applyProtection="1">
      <alignment horizontal="center"/>
      <protection hidden="1"/>
    </xf>
    <xf numFmtId="0" fontId="0" fillId="0" borderId="9" xfId="0" applyFill="1" applyBorder="1" applyAlignment="1" applyProtection="1">
      <alignment horizontal="center"/>
      <protection hidden="1"/>
    </xf>
    <xf numFmtId="0" fontId="5" fillId="0" borderId="0" xfId="0" applyFont="1" applyFill="1" applyProtection="1">
      <protection hidden="1"/>
    </xf>
    <xf numFmtId="0" fontId="3" fillId="0" borderId="7" xfId="0" applyFont="1" applyFill="1" applyBorder="1" applyAlignment="1" applyProtection="1">
      <alignment horizontal="left"/>
      <protection hidden="1"/>
    </xf>
    <xf numFmtId="0" fontId="3" fillId="0" borderId="6" xfId="0" applyFont="1" applyFill="1" applyBorder="1" applyAlignment="1" applyProtection="1">
      <alignment horizontal="left"/>
      <protection hidden="1"/>
    </xf>
    <xf numFmtId="2" fontId="0" fillId="0" borderId="6" xfId="0" applyNumberFormat="1" applyFill="1" applyBorder="1" applyAlignment="1" applyProtection="1">
      <alignment horizontal="center"/>
      <protection hidden="1"/>
    </xf>
    <xf numFmtId="0" fontId="2" fillId="0" borderId="0" xfId="0" applyFont="1" applyFill="1" applyAlignment="1" applyProtection="1">
      <protection hidden="1"/>
    </xf>
    <xf numFmtId="0" fontId="0" fillId="0" borderId="0" xfId="0" applyFill="1" applyAlignment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2" fontId="6" fillId="0" borderId="0" xfId="0" applyNumberFormat="1" applyFont="1" applyFill="1" applyBorder="1" applyAlignment="1" applyProtection="1">
      <alignment horizontal="center"/>
      <protection hidden="1"/>
    </xf>
    <xf numFmtId="0" fontId="9" fillId="2" borderId="21" xfId="0" applyFont="1" applyFill="1" applyBorder="1" applyAlignment="1" applyProtection="1">
      <alignment horizontal="left" vertical="center" wrapText="1"/>
    </xf>
    <xf numFmtId="0" fontId="0" fillId="2" borderId="21" xfId="0" applyFill="1" applyBorder="1" applyAlignment="1">
      <alignment horizontal="left" wrapText="1"/>
    </xf>
    <xf numFmtId="0" fontId="0" fillId="2" borderId="21" xfId="0" applyFill="1" applyBorder="1" applyAlignment="1">
      <alignment horizontal="left"/>
    </xf>
    <xf numFmtId="0" fontId="9" fillId="2" borderId="21" xfId="0" applyFont="1" applyFill="1" applyBorder="1" applyAlignment="1" applyProtection="1">
      <alignment horizontal="left" wrapText="1"/>
    </xf>
    <xf numFmtId="0" fontId="9" fillId="3" borderId="0" xfId="0" applyFont="1" applyFill="1" applyBorder="1" applyAlignment="1" applyProtection="1">
      <alignment horizontal="right"/>
    </xf>
    <xf numFmtId="0" fontId="9" fillId="3" borderId="0" xfId="0" applyFont="1" applyFill="1" applyBorder="1" applyAlignment="1" applyProtection="1">
      <alignment horizontal="right" vertical="center"/>
    </xf>
    <xf numFmtId="0" fontId="15" fillId="3" borderId="0" xfId="0" applyFont="1" applyFill="1" applyAlignment="1" applyProtection="1">
      <alignment horizontal="left" vertical="top" wrapText="1" indent="1"/>
    </xf>
    <xf numFmtId="0" fontId="16" fillId="3" borderId="0" xfId="0" applyFont="1" applyFill="1" applyAlignment="1">
      <alignment horizontal="left" vertical="top" wrapText="1" indent="1"/>
    </xf>
    <xf numFmtId="0" fontId="0" fillId="3" borderId="0" xfId="0" applyFill="1" applyAlignment="1">
      <alignment horizontal="left" vertical="top" indent="1"/>
    </xf>
    <xf numFmtId="0" fontId="10" fillId="3" borderId="0" xfId="0" applyFont="1" applyFill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Alignment="1"/>
    <xf numFmtId="0" fontId="9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6" fillId="0" borderId="0" xfId="0" applyFont="1" applyFill="1" applyBorder="1" applyAlignment="1" applyProtection="1">
      <alignment horizontal="center" wrapText="1"/>
      <protection hidden="1"/>
    </xf>
    <xf numFmtId="0" fontId="3" fillId="0" borderId="10" xfId="0" applyFont="1" applyFill="1" applyBorder="1" applyAlignment="1" applyProtection="1">
      <alignment horizontal="center"/>
      <protection hidden="1"/>
    </xf>
    <xf numFmtId="0" fontId="3" fillId="0" borderId="15" xfId="0" applyFont="1" applyFill="1" applyBorder="1" applyAlignment="1" applyProtection="1">
      <alignment horizontal="center"/>
      <protection hidden="1"/>
    </xf>
    <xf numFmtId="0" fontId="3" fillId="0" borderId="17" xfId="0" applyFont="1" applyFill="1" applyBorder="1" applyAlignment="1" applyProtection="1">
      <alignment horizontal="center"/>
      <protection hidden="1"/>
    </xf>
    <xf numFmtId="0" fontId="3" fillId="0" borderId="14" xfId="0" applyFont="1" applyFill="1" applyBorder="1" applyAlignment="1" applyProtection="1">
      <alignment horizontal="center"/>
      <protection hidden="1"/>
    </xf>
    <xf numFmtId="0" fontId="3" fillId="0" borderId="16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1" fillId="0" borderId="5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B$11" fmlaRange="Data!$B$5:$B$13" noThreeD="1" sel="1" val="0"/>
</file>

<file path=xl/ctrlProps/ctrlProp2.xml><?xml version="1.0" encoding="utf-8"?>
<formControlPr xmlns="http://schemas.microsoft.com/office/spreadsheetml/2009/9/main" objectType="Drop" dropLines="7" dropStyle="combo" dx="16" fmlaLink="$B$15" fmlaRange="Data!$A$5:$A$41" noThreeD="1" sel="8" val="7"/>
</file>

<file path=xl/ctrlProps/ctrlProp3.xml><?xml version="1.0" encoding="utf-8"?>
<formControlPr xmlns="http://schemas.microsoft.com/office/spreadsheetml/2009/9/main" objectType="Drop" dropLines="2" dropStyle="combo" dx="16" fmlaLink="$B$2" fmlaRange="Data!$D$15:$D$16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1019175</xdr:colOff>
          <xdr:row>10</xdr:row>
          <xdr:rowOff>9525</xdr:rowOff>
        </xdr:from>
        <xdr:to>
          <xdr:col>1</xdr:col>
          <xdr:colOff>1543050</xdr:colOff>
          <xdr:row>10</xdr:row>
          <xdr:rowOff>190500</xdr:rowOff>
        </xdr:to>
        <xdr:sp macro="" textlink="">
          <xdr:nvSpPr>
            <xdr:cNvPr id="12293" name="Drop Dow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14</xdr:row>
          <xdr:rowOff>9525</xdr:rowOff>
        </xdr:from>
        <xdr:to>
          <xdr:col>1</xdr:col>
          <xdr:colOff>1533525</xdr:colOff>
          <xdr:row>14</xdr:row>
          <xdr:rowOff>200025</xdr:rowOff>
        </xdr:to>
        <xdr:sp macro="" textlink="">
          <xdr:nvSpPr>
            <xdr:cNvPr id="12332" name="Drop Down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0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342891</xdr:colOff>
      <xdr:row>1</xdr:row>
      <xdr:rowOff>47616</xdr:rowOff>
    </xdr:from>
    <xdr:to>
      <xdr:col>3</xdr:col>
      <xdr:colOff>619722</xdr:colOff>
      <xdr:row>4</xdr:row>
      <xdr:rowOff>72378</xdr:rowOff>
    </xdr:to>
    <xdr:pic>
      <xdr:nvPicPr>
        <xdr:cNvPr id="12406" name="Picture 1">
          <a:extLst>
            <a:ext uri="{FF2B5EF4-FFF2-40B4-BE49-F238E27FC236}">
              <a16:creationId xmlns:a16="http://schemas.microsoft.com/office/drawing/2014/main" id="{00000000-0008-0000-0000-000076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66" y="1304916"/>
          <a:ext cx="1067406" cy="653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0</xdr:row>
      <xdr:rowOff>85725</xdr:rowOff>
    </xdr:from>
    <xdr:to>
      <xdr:col>7</xdr:col>
      <xdr:colOff>66675</xdr:colOff>
      <xdr:row>24</xdr:row>
      <xdr:rowOff>190500</xdr:rowOff>
    </xdr:to>
    <xdr:sp macro="" textlink="">
      <xdr:nvSpPr>
        <xdr:cNvPr id="3" name="Round Diagonal Corner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676400" y="85725"/>
          <a:ext cx="4057650" cy="5133975"/>
        </a:xfrm>
        <a:prstGeom prst="round2DiagRect">
          <a:avLst/>
        </a:prstGeom>
        <a:noFill/>
        <a:ln w="317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647702</xdr:colOff>
      <xdr:row>31</xdr:row>
      <xdr:rowOff>66677</xdr:rowOff>
    </xdr:from>
    <xdr:to>
      <xdr:col>13</xdr:col>
      <xdr:colOff>28196</xdr:colOff>
      <xdr:row>49</xdr:row>
      <xdr:rowOff>7241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2" y="8448677"/>
          <a:ext cx="7552944" cy="371246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428642</xdr:colOff>
      <xdr:row>13</xdr:row>
      <xdr:rowOff>19050</xdr:rowOff>
    </xdr:from>
    <xdr:to>
      <xdr:col>4</xdr:col>
      <xdr:colOff>404258</xdr:colOff>
      <xdr:row>18</xdr:row>
      <xdr:rowOff>68580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38" b="-11544"/>
        <a:stretch/>
      </xdr:blipFill>
      <xdr:spPr>
        <a:xfrm>
          <a:off x="2276492" y="2743200"/>
          <a:ext cx="1556766" cy="109728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13</xdr:row>
      <xdr:rowOff>171450</xdr:rowOff>
    </xdr:from>
    <xdr:to>
      <xdr:col>2</xdr:col>
      <xdr:colOff>316230</xdr:colOff>
      <xdr:row>13</xdr:row>
      <xdr:rowOff>171450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 bwMode="auto">
        <a:xfrm>
          <a:off x="933450" y="4152900"/>
          <a:ext cx="182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142875</xdr:colOff>
      <xdr:row>16</xdr:row>
      <xdr:rowOff>190500</xdr:rowOff>
    </xdr:from>
    <xdr:to>
      <xdr:col>2</xdr:col>
      <xdr:colOff>325755</xdr:colOff>
      <xdr:row>16</xdr:row>
      <xdr:rowOff>190500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 bwMode="auto">
        <a:xfrm>
          <a:off x="942975" y="4800600"/>
          <a:ext cx="182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228600</xdr:colOff>
      <xdr:row>15</xdr:row>
      <xdr:rowOff>171450</xdr:rowOff>
    </xdr:from>
    <xdr:to>
      <xdr:col>2</xdr:col>
      <xdr:colOff>228600</xdr:colOff>
      <xdr:row>16</xdr:row>
      <xdr:rowOff>190500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>
          <a:off x="1028700" y="4572000"/>
          <a:ext cx="0" cy="2286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228600</xdr:colOff>
      <xdr:row>13</xdr:row>
      <xdr:rowOff>161925</xdr:rowOff>
    </xdr:from>
    <xdr:to>
      <xdr:col>2</xdr:col>
      <xdr:colOff>228600</xdr:colOff>
      <xdr:row>15</xdr:row>
      <xdr:rowOff>17145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 bwMode="auto">
        <a:xfrm>
          <a:off x="1028700" y="4143375"/>
          <a:ext cx="0" cy="2743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428625</xdr:colOff>
      <xdr:row>17</xdr:row>
      <xdr:rowOff>0</xdr:rowOff>
    </xdr:from>
    <xdr:to>
      <xdr:col>2</xdr:col>
      <xdr:colOff>428625</xdr:colOff>
      <xdr:row>17</xdr:row>
      <xdr:rowOff>201168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 bwMode="auto">
        <a:xfrm>
          <a:off x="1228725" y="4819650"/>
          <a:ext cx="0" cy="20116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600075</xdr:colOff>
      <xdr:row>16</xdr:row>
      <xdr:rowOff>0</xdr:rowOff>
    </xdr:from>
    <xdr:to>
      <xdr:col>2</xdr:col>
      <xdr:colOff>600075</xdr:colOff>
      <xdr:row>17</xdr:row>
      <xdr:rowOff>201930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 bwMode="auto">
        <a:xfrm>
          <a:off x="1400175" y="4610100"/>
          <a:ext cx="0" cy="411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247650</xdr:colOff>
      <xdr:row>17</xdr:row>
      <xdr:rowOff>169545</xdr:rowOff>
    </xdr:from>
    <xdr:to>
      <xdr:col>2</xdr:col>
      <xdr:colOff>430530</xdr:colOff>
      <xdr:row>17</xdr:row>
      <xdr:rowOff>171450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 bwMode="auto">
        <a:xfrm flipH="1" flipV="1">
          <a:off x="1047750" y="4989195"/>
          <a:ext cx="18288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609600</xdr:colOff>
      <xdr:row>17</xdr:row>
      <xdr:rowOff>171450</xdr:rowOff>
    </xdr:from>
    <xdr:to>
      <xdr:col>3</xdr:col>
      <xdr:colOff>1905</xdr:colOff>
      <xdr:row>17</xdr:row>
      <xdr:rowOff>173355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 bwMode="auto">
        <a:xfrm flipH="1" flipV="1">
          <a:off x="1409700" y="4991100"/>
          <a:ext cx="18288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342900</xdr:colOff>
      <xdr:row>16</xdr:row>
      <xdr:rowOff>0</xdr:rowOff>
    </xdr:from>
    <xdr:to>
      <xdr:col>3</xdr:col>
      <xdr:colOff>342900</xdr:colOff>
      <xdr:row>17</xdr:row>
      <xdr:rowOff>201930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 bwMode="auto">
        <a:xfrm>
          <a:off x="1933575" y="4610100"/>
          <a:ext cx="0" cy="411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600075</xdr:colOff>
      <xdr:row>16</xdr:row>
      <xdr:rowOff>9525</xdr:rowOff>
    </xdr:from>
    <xdr:to>
      <xdr:col>3</xdr:col>
      <xdr:colOff>600075</xdr:colOff>
      <xdr:row>18</xdr:row>
      <xdr:rowOff>1905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 bwMode="auto">
        <a:xfrm>
          <a:off x="2190750" y="4619625"/>
          <a:ext cx="0" cy="411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171450</xdr:colOff>
      <xdr:row>17</xdr:row>
      <xdr:rowOff>171450</xdr:rowOff>
    </xdr:from>
    <xdr:to>
      <xdr:col>3</xdr:col>
      <xdr:colOff>354330</xdr:colOff>
      <xdr:row>17</xdr:row>
      <xdr:rowOff>173355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 bwMode="auto">
        <a:xfrm flipH="1" flipV="1">
          <a:off x="1762125" y="4991100"/>
          <a:ext cx="18288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600075</xdr:colOff>
      <xdr:row>17</xdr:row>
      <xdr:rowOff>173355</xdr:rowOff>
    </xdr:from>
    <xdr:to>
      <xdr:col>3</xdr:col>
      <xdr:colOff>782955</xdr:colOff>
      <xdr:row>17</xdr:row>
      <xdr:rowOff>175260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 bwMode="auto">
        <a:xfrm flipH="1" flipV="1">
          <a:off x="2190750" y="4993005"/>
          <a:ext cx="18288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123825</xdr:colOff>
      <xdr:row>50</xdr:row>
      <xdr:rowOff>9525</xdr:rowOff>
    </xdr:from>
    <xdr:to>
      <xdr:col>2</xdr:col>
      <xdr:colOff>398145</xdr:colOff>
      <xdr:row>50</xdr:row>
      <xdr:rowOff>9525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 bwMode="auto">
        <a:xfrm>
          <a:off x="923925" y="12372975"/>
          <a:ext cx="274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133350</xdr:colOff>
      <xdr:row>30</xdr:row>
      <xdr:rowOff>66675</xdr:rowOff>
    </xdr:from>
    <xdr:to>
      <xdr:col>2</xdr:col>
      <xdr:colOff>407670</xdr:colOff>
      <xdr:row>30</xdr:row>
      <xdr:rowOff>66675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 bwMode="auto">
        <a:xfrm>
          <a:off x="933450" y="8239125"/>
          <a:ext cx="274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276225</xdr:colOff>
      <xdr:row>42</xdr:row>
      <xdr:rowOff>123825</xdr:rowOff>
    </xdr:from>
    <xdr:to>
      <xdr:col>2</xdr:col>
      <xdr:colOff>276225</xdr:colOff>
      <xdr:row>50</xdr:row>
      <xdr:rowOff>1905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 bwMode="auto">
        <a:xfrm>
          <a:off x="1076325" y="10810875"/>
          <a:ext cx="0" cy="15544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276225</xdr:colOff>
      <xdr:row>30</xdr:row>
      <xdr:rowOff>76200</xdr:rowOff>
    </xdr:from>
    <xdr:to>
      <xdr:col>2</xdr:col>
      <xdr:colOff>276225</xdr:colOff>
      <xdr:row>38</xdr:row>
      <xdr:rowOff>137160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 bwMode="auto">
        <a:xfrm>
          <a:off x="2124075" y="6362700"/>
          <a:ext cx="0" cy="173736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523875</xdr:colOff>
      <xdr:row>50</xdr:row>
      <xdr:rowOff>200025</xdr:rowOff>
    </xdr:from>
    <xdr:to>
      <xdr:col>2</xdr:col>
      <xdr:colOff>523875</xdr:colOff>
      <xdr:row>52</xdr:row>
      <xdr:rowOff>55245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 bwMode="auto">
        <a:xfrm>
          <a:off x="1323975" y="12563475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200025</xdr:colOff>
      <xdr:row>51</xdr:row>
      <xdr:rowOff>9525</xdr:rowOff>
    </xdr:from>
    <xdr:to>
      <xdr:col>13</xdr:col>
      <xdr:colOff>200025</xdr:colOff>
      <xdr:row>52</xdr:row>
      <xdr:rowOff>74295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 bwMode="auto">
        <a:xfrm>
          <a:off x="9172575" y="12582525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542925</xdr:colOff>
      <xdr:row>51</xdr:row>
      <xdr:rowOff>114300</xdr:rowOff>
    </xdr:from>
    <xdr:to>
      <xdr:col>13</xdr:col>
      <xdr:colOff>203835</xdr:colOff>
      <xdr:row>51</xdr:row>
      <xdr:rowOff>116205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 bwMode="auto">
        <a:xfrm flipH="1" flipV="1">
          <a:off x="5381625" y="12687300"/>
          <a:ext cx="379476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514350</xdr:colOff>
      <xdr:row>51</xdr:row>
      <xdr:rowOff>106680</xdr:rowOff>
    </xdr:from>
    <xdr:to>
      <xdr:col>6</xdr:col>
      <xdr:colOff>767715</xdr:colOff>
      <xdr:row>51</xdr:row>
      <xdr:rowOff>108585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 bwMode="auto">
        <a:xfrm flipH="1" flipV="1">
          <a:off x="1314450" y="12679680"/>
          <a:ext cx="352044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19050</xdr:colOff>
      <xdr:row>49</xdr:row>
      <xdr:rowOff>9525</xdr:rowOff>
    </xdr:from>
    <xdr:to>
      <xdr:col>13</xdr:col>
      <xdr:colOff>476250</xdr:colOff>
      <xdr:row>49</xdr:row>
      <xdr:rowOff>9525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 bwMode="auto">
        <a:xfrm>
          <a:off x="8991600" y="12163425"/>
          <a:ext cx="457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28575</xdr:colOff>
      <xdr:row>31</xdr:row>
      <xdr:rowOff>95250</xdr:rowOff>
    </xdr:from>
    <xdr:to>
      <xdr:col>13</xdr:col>
      <xdr:colOff>485775</xdr:colOff>
      <xdr:row>31</xdr:row>
      <xdr:rowOff>95250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 bwMode="auto">
        <a:xfrm>
          <a:off x="9001125" y="8477250"/>
          <a:ext cx="457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352425</xdr:colOff>
      <xdr:row>42</xdr:row>
      <xdr:rowOff>190500</xdr:rowOff>
    </xdr:from>
    <xdr:to>
      <xdr:col>13</xdr:col>
      <xdr:colOff>352425</xdr:colOff>
      <xdr:row>49</xdr:row>
      <xdr:rowOff>3810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 bwMode="auto">
        <a:xfrm>
          <a:off x="9324975" y="10877550"/>
          <a:ext cx="0" cy="128016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361950</xdr:colOff>
      <xdr:row>31</xdr:row>
      <xdr:rowOff>95250</xdr:rowOff>
    </xdr:from>
    <xdr:to>
      <xdr:col>13</xdr:col>
      <xdr:colOff>361950</xdr:colOff>
      <xdr:row>38</xdr:row>
      <xdr:rowOff>182880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 bwMode="auto">
        <a:xfrm>
          <a:off x="9334500" y="8477250"/>
          <a:ext cx="0" cy="15544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695325</xdr:colOff>
      <xdr:row>29</xdr:row>
      <xdr:rowOff>161925</xdr:rowOff>
    </xdr:from>
    <xdr:to>
      <xdr:col>2</xdr:col>
      <xdr:colOff>695325</xdr:colOff>
      <xdr:row>31</xdr:row>
      <xdr:rowOff>17145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 bwMode="auto">
        <a:xfrm>
          <a:off x="1495425" y="8124825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619125</xdr:colOff>
      <xdr:row>29</xdr:row>
      <xdr:rowOff>190500</xdr:rowOff>
    </xdr:from>
    <xdr:to>
      <xdr:col>12</xdr:col>
      <xdr:colOff>619125</xdr:colOff>
      <xdr:row>31</xdr:row>
      <xdr:rowOff>45720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 bwMode="auto">
        <a:xfrm>
          <a:off x="8953500" y="8153400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28575</xdr:colOff>
      <xdr:row>30</xdr:row>
      <xdr:rowOff>104775</xdr:rowOff>
    </xdr:from>
    <xdr:to>
      <xdr:col>12</xdr:col>
      <xdr:colOff>615315</xdr:colOff>
      <xdr:row>30</xdr:row>
      <xdr:rowOff>106680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 bwMode="auto">
        <a:xfrm flipH="1" flipV="1">
          <a:off x="5429250" y="8277225"/>
          <a:ext cx="352044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685800</xdr:colOff>
      <xdr:row>30</xdr:row>
      <xdr:rowOff>106680</xdr:rowOff>
    </xdr:from>
    <xdr:to>
      <xdr:col>6</xdr:col>
      <xdr:colOff>710565</xdr:colOff>
      <xdr:row>30</xdr:row>
      <xdr:rowOff>108585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 bwMode="auto">
        <a:xfrm flipH="1" flipV="1">
          <a:off x="1485900" y="8279130"/>
          <a:ext cx="329184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1</xdr:row>
          <xdr:rowOff>9525</xdr:rowOff>
        </xdr:from>
        <xdr:to>
          <xdr:col>1</xdr:col>
          <xdr:colOff>1552575</xdr:colOff>
          <xdr:row>1</xdr:row>
          <xdr:rowOff>190500</xdr:rowOff>
        </xdr:to>
        <xdr:sp macro="" textlink="">
          <xdr:nvSpPr>
            <xdr:cNvPr id="12333" name="Drop Down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0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P592"/>
  <sheetViews>
    <sheetView tabSelected="1" showOutlineSymbols="0" zoomScaleNormal="100" workbookViewId="0">
      <selection activeCell="B11" sqref="B11"/>
    </sheetView>
  </sheetViews>
  <sheetFormatPr defaultRowHeight="12.75" x14ac:dyDescent="0.2"/>
  <cols>
    <col min="1" max="1" width="3.28515625" style="1" customWidth="1"/>
    <col min="2" max="2" width="24.42578125" style="1" customWidth="1"/>
    <col min="3" max="4" width="11.85546875" style="1" customWidth="1"/>
    <col min="5" max="5" width="14" style="1" customWidth="1"/>
    <col min="6" max="6" width="11.28515625" style="1" customWidth="1"/>
    <col min="7" max="7" width="11.5703125" style="27" customWidth="1"/>
    <col min="8" max="8" width="8.42578125" style="27" customWidth="1"/>
    <col min="9" max="9" width="15.28515625" style="1" customWidth="1"/>
    <col min="10" max="14" width="9.5703125" style="1" customWidth="1"/>
    <col min="15" max="15" width="10.5703125" style="1" customWidth="1"/>
    <col min="16" max="16" width="9.140625" style="1" customWidth="1"/>
    <col min="17" max="16384" width="9.140625" style="1"/>
  </cols>
  <sheetData>
    <row r="1" spans="1:16" ht="16.5" customHeight="1" thickTop="1" x14ac:dyDescent="0.25">
      <c r="A1" s="43"/>
      <c r="B1" s="44" t="s">
        <v>66</v>
      </c>
      <c r="C1" s="111"/>
      <c r="D1" s="112"/>
      <c r="E1" s="28"/>
      <c r="F1" s="28"/>
      <c r="G1" s="28"/>
      <c r="H1" s="29" t="s">
        <v>75</v>
      </c>
      <c r="I1" s="4"/>
      <c r="J1" s="4"/>
      <c r="K1" s="4"/>
      <c r="L1" s="30"/>
      <c r="M1" s="30"/>
      <c r="N1" s="30"/>
      <c r="O1" s="5"/>
      <c r="P1" s="2"/>
    </row>
    <row r="2" spans="1:16" s="26" customFormat="1" ht="16.5" customHeight="1" x14ac:dyDescent="0.2">
      <c r="A2" s="45"/>
      <c r="B2" s="46">
        <v>2</v>
      </c>
      <c r="C2" s="111"/>
      <c r="D2" s="112"/>
      <c r="E2" s="113" t="s">
        <v>68</v>
      </c>
      <c r="F2" s="113"/>
      <c r="G2" s="114"/>
      <c r="H2" s="9" t="s">
        <v>74</v>
      </c>
      <c r="I2" s="6"/>
      <c r="J2" s="6"/>
      <c r="K2" s="6"/>
      <c r="L2" s="30"/>
      <c r="M2" s="30"/>
      <c r="N2" s="30"/>
      <c r="O2" s="5"/>
      <c r="P2" s="8"/>
    </row>
    <row r="3" spans="1:16" s="26" customFormat="1" ht="16.5" customHeight="1" x14ac:dyDescent="0.2">
      <c r="A3" s="45"/>
      <c r="B3" s="47"/>
      <c r="C3" s="111"/>
      <c r="D3" s="112"/>
      <c r="E3" s="114"/>
      <c r="F3" s="114"/>
      <c r="G3" s="114"/>
      <c r="H3" s="6"/>
      <c r="I3" s="7"/>
      <c r="J3" s="7"/>
      <c r="K3" s="7"/>
      <c r="L3" s="7"/>
      <c r="M3" s="7"/>
      <c r="N3" s="7"/>
      <c r="O3" s="8"/>
      <c r="P3" s="8"/>
    </row>
    <row r="4" spans="1:16" s="26" customFormat="1" ht="16.5" customHeight="1" x14ac:dyDescent="0.2">
      <c r="A4" s="45"/>
      <c r="B4" s="101" t="s">
        <v>70</v>
      </c>
      <c r="C4" s="6"/>
      <c r="D4" s="22"/>
      <c r="E4" s="6"/>
      <c r="F4" s="12" t="s">
        <v>44</v>
      </c>
      <c r="G4" s="9" t="str">
        <f>IF($B$2=1,"Detention","Retention")</f>
        <v>Retention</v>
      </c>
      <c r="H4" s="9" t="str">
        <f>IF(B2=1,"Detention implies a restricted outlet with solid wall pipe (i.e. no perforations).", "Retention implies groundwater infiltration using fully perforated pipe.")</f>
        <v>Retention implies groundwater infiltration using fully perforated pipe.</v>
      </c>
      <c r="I4" s="23"/>
      <c r="J4" s="7"/>
      <c r="K4" s="7"/>
      <c r="L4" s="7"/>
      <c r="M4" s="7"/>
      <c r="N4" s="7"/>
      <c r="O4" s="8"/>
      <c r="P4" s="8"/>
    </row>
    <row r="5" spans="1:16" ht="16.5" customHeight="1" x14ac:dyDescent="0.2">
      <c r="A5" s="48"/>
      <c r="B5" s="102"/>
      <c r="C5" s="4"/>
      <c r="D5" s="24"/>
      <c r="E5" s="106" t="s">
        <v>46</v>
      </c>
      <c r="F5" s="106"/>
      <c r="G5" s="25">
        <f>$B$7</f>
        <v>0</v>
      </c>
      <c r="H5" s="10"/>
      <c r="I5" s="21"/>
      <c r="J5" s="3"/>
      <c r="K5" s="3"/>
      <c r="L5" s="3"/>
      <c r="M5" s="3"/>
      <c r="N5" s="3"/>
      <c r="O5" s="2"/>
      <c r="P5" s="2"/>
    </row>
    <row r="6" spans="1:16" ht="16.5" customHeight="1" x14ac:dyDescent="0.2">
      <c r="A6" s="48"/>
      <c r="B6" s="103"/>
      <c r="C6" s="107" t="s">
        <v>69</v>
      </c>
      <c r="D6" s="108"/>
      <c r="E6" s="105" t="s">
        <v>67</v>
      </c>
      <c r="F6" s="105"/>
      <c r="G6" s="9">
        <f>VLOOKUP($B$11,Data!$A$5:$H$13,2)</f>
        <v>12</v>
      </c>
      <c r="H6" s="9" t="s">
        <v>76</v>
      </c>
      <c r="I6" s="21"/>
      <c r="J6" s="3"/>
      <c r="K6" s="3"/>
      <c r="L6" s="3"/>
      <c r="M6" s="3"/>
      <c r="N6" s="3"/>
      <c r="O6" s="2"/>
      <c r="P6" s="2"/>
    </row>
    <row r="7" spans="1:16" ht="16.5" customHeight="1" x14ac:dyDescent="0.2">
      <c r="A7" s="48"/>
      <c r="B7" s="49">
        <v>0</v>
      </c>
      <c r="C7" s="108"/>
      <c r="D7" s="108"/>
      <c r="E7" s="105" t="s">
        <v>45</v>
      </c>
      <c r="F7" s="105"/>
      <c r="G7" s="9">
        <f>$B$15</f>
        <v>8</v>
      </c>
      <c r="H7" s="10"/>
      <c r="I7" s="3"/>
      <c r="J7" s="3"/>
      <c r="K7" s="3"/>
      <c r="L7" s="3"/>
      <c r="M7" s="3"/>
      <c r="N7" s="3"/>
      <c r="O7" s="2"/>
      <c r="P7" s="2"/>
    </row>
    <row r="8" spans="1:16" ht="16.5" customHeight="1" x14ac:dyDescent="0.2">
      <c r="A8" s="48"/>
      <c r="B8" s="50"/>
      <c r="C8" s="109"/>
      <c r="D8" s="109"/>
      <c r="E8" s="4"/>
      <c r="F8" s="12" t="s">
        <v>38</v>
      </c>
      <c r="G8" s="31">
        <f>VLOOKUP($B$11,Data!$A$5:$J$13,3)</f>
        <v>1</v>
      </c>
      <c r="H8" s="9"/>
      <c r="I8" s="3"/>
      <c r="J8" s="32"/>
      <c r="K8" s="3"/>
      <c r="L8" s="3"/>
      <c r="M8" s="3"/>
      <c r="N8" s="3"/>
      <c r="O8" s="2"/>
      <c r="P8" s="2"/>
    </row>
    <row r="9" spans="1:16" ht="16.5" customHeight="1" x14ac:dyDescent="0.2">
      <c r="A9" s="48"/>
      <c r="B9" s="50"/>
      <c r="C9" s="4"/>
      <c r="D9" s="24"/>
      <c r="E9" s="24"/>
      <c r="F9" s="12" t="s">
        <v>39</v>
      </c>
      <c r="G9" s="33">
        <f>VLOOKUP($B$11,Data!$A$5:$J$13,5)</f>
        <v>1.2083333333333333</v>
      </c>
      <c r="H9" s="9"/>
      <c r="I9" s="3"/>
      <c r="J9" s="3"/>
      <c r="K9" s="3"/>
      <c r="L9" s="3"/>
      <c r="M9" s="3"/>
      <c r="N9" s="3"/>
      <c r="O9" s="2"/>
      <c r="P9" s="2"/>
    </row>
    <row r="10" spans="1:16" ht="16.5" customHeight="1" x14ac:dyDescent="0.2">
      <c r="A10" s="48"/>
      <c r="B10" s="51" t="s">
        <v>71</v>
      </c>
      <c r="C10" s="4"/>
      <c r="D10" s="105" t="s">
        <v>47</v>
      </c>
      <c r="E10" s="105"/>
      <c r="F10" s="105"/>
      <c r="G10" s="33">
        <f>PI()*$G$8^2/4</f>
        <v>0.78539816339744828</v>
      </c>
      <c r="H10" s="9" t="s">
        <v>52</v>
      </c>
      <c r="I10" s="3"/>
      <c r="J10" s="3"/>
      <c r="K10" s="3"/>
      <c r="L10" s="3"/>
      <c r="M10" s="3"/>
      <c r="N10" s="3"/>
      <c r="O10" s="2"/>
      <c r="P10" s="2"/>
    </row>
    <row r="11" spans="1:16" ht="16.5" customHeight="1" x14ac:dyDescent="0.2">
      <c r="A11" s="48"/>
      <c r="B11" s="46">
        <v>1</v>
      </c>
      <c r="C11" s="4"/>
      <c r="D11" s="24"/>
      <c r="E11" s="105" t="s">
        <v>40</v>
      </c>
      <c r="F11" s="105"/>
      <c r="G11" s="31">
        <f>VLOOKUP($B$11,Data!$A$5:$J$13,6)</f>
        <v>0.75</v>
      </c>
      <c r="H11" s="9" t="s">
        <v>77</v>
      </c>
      <c r="I11" s="3"/>
      <c r="J11" s="3"/>
      <c r="K11" s="3"/>
      <c r="L11" s="3"/>
      <c r="M11" s="3"/>
      <c r="N11" s="3"/>
      <c r="O11" s="2"/>
      <c r="P11" s="2"/>
    </row>
    <row r="12" spans="1:16" ht="16.5" customHeight="1" x14ac:dyDescent="0.2">
      <c r="A12" s="48"/>
      <c r="B12" s="50"/>
      <c r="C12" s="4"/>
      <c r="D12" s="105" t="str">
        <f>IF($B$2=1,"Height of Backfill Over Pipe (ft)","Stone Storage Above Pipe (ft)")</f>
        <v>Stone Storage Above Pipe (ft)</v>
      </c>
      <c r="E12" s="105"/>
      <c r="F12" s="105"/>
      <c r="G12" s="34">
        <f>$B$23</f>
        <v>0.5</v>
      </c>
      <c r="H12" s="35" t="str">
        <f>IF($B$2=1,"As required by project specifications (recommended 1-ft).","As available for infiltration systems.")</f>
        <v>As available for infiltration systems.</v>
      </c>
      <c r="I12" s="3"/>
      <c r="J12" s="3"/>
      <c r="K12" s="3"/>
      <c r="L12" s="3"/>
      <c r="M12" s="3"/>
      <c r="N12" s="3"/>
      <c r="O12" s="2"/>
      <c r="P12" s="2"/>
    </row>
    <row r="13" spans="1:16" ht="16.5" customHeight="1" x14ac:dyDescent="0.2">
      <c r="A13" s="48"/>
      <c r="B13" s="50"/>
      <c r="C13" s="58" t="str">
        <f>IF($B$19=0,"0-in bedding",IF($B$19=0.33,"4-in bedding",IF($B$19=0.5,"6-in bedding",IF($B$19=0.75,"9-in bedding","12-in bedding"))))</f>
        <v>6-in bedding</v>
      </c>
      <c r="D13" s="59" t="str">
        <f>IF($B$23=0,"backfill 0-in above pipe",IF($B$23=0.33,"backfill 4-in above pipe",IF($B$23=0.5,"backfill 6-in above pipe",IF($B$23=0.75,"backfill 9-in above pipe","backfill 12-in above pipe"))))</f>
        <v>backfill 6-in above pipe</v>
      </c>
      <c r="E13" s="4"/>
      <c r="F13" s="56" t="s">
        <v>79</v>
      </c>
      <c r="G13" s="34">
        <f>$B$19</f>
        <v>0.5</v>
      </c>
      <c r="H13" s="9" t="str">
        <f>IF(B2=1,"Bedding for detention system per project specifications.","Bedding used as part of the storage depth for retention systems.")</f>
        <v>Bedding used as part of the storage depth for retention systems.</v>
      </c>
      <c r="I13" s="3"/>
      <c r="J13" s="3"/>
      <c r="K13" s="3"/>
      <c r="L13" s="3"/>
      <c r="M13" s="3"/>
      <c r="N13" s="3"/>
      <c r="O13" s="2"/>
      <c r="P13" s="2"/>
    </row>
    <row r="14" spans="1:16" ht="16.5" customHeight="1" x14ac:dyDescent="0.2">
      <c r="A14" s="48"/>
      <c r="B14" s="52" t="s">
        <v>72</v>
      </c>
      <c r="C14" s="4"/>
      <c r="D14" s="4"/>
      <c r="E14" s="105" t="s">
        <v>15</v>
      </c>
      <c r="F14" s="105"/>
      <c r="G14" s="31">
        <f>IF($B$2=1,"N/A",$G$9+$G$12+$G$13)</f>
        <v>2.208333333333333</v>
      </c>
      <c r="H14" s="9" t="str">
        <f>IF($B$2=1,"Applicable when using backfill/bedding for storage.","Bedding thickness + Pipe OD + storage above pipe.")</f>
        <v>Bedding thickness + Pipe OD + storage above pipe.</v>
      </c>
      <c r="I14" s="3"/>
      <c r="J14" s="3"/>
      <c r="K14" s="3"/>
      <c r="L14" s="3"/>
      <c r="M14" s="3"/>
      <c r="N14" s="3"/>
      <c r="O14" s="2"/>
      <c r="P14" s="2"/>
    </row>
    <row r="15" spans="1:16" ht="16.5" customHeight="1" x14ac:dyDescent="0.2">
      <c r="A15" s="48"/>
      <c r="B15" s="46">
        <v>8</v>
      </c>
      <c r="C15" s="4"/>
      <c r="D15" s="4"/>
      <c r="E15" s="105" t="s">
        <v>16</v>
      </c>
      <c r="F15" s="105"/>
      <c r="G15" s="36">
        <f>IF($B$2=1,"N/A",40%)</f>
        <v>0.4</v>
      </c>
      <c r="H15" s="9" t="str">
        <f>IF($B$2=1,"Applicable when using backfill/bedding for storage.","40% porosity for washed, open graded, angular aggregate.")</f>
        <v>40% porosity for washed, open graded, angular aggregate.</v>
      </c>
      <c r="I15" s="3"/>
      <c r="J15" s="3"/>
      <c r="K15" s="3"/>
      <c r="L15" s="3"/>
      <c r="M15" s="3"/>
      <c r="N15" s="3"/>
      <c r="O15" s="2"/>
      <c r="P15" s="2"/>
    </row>
    <row r="16" spans="1:16" ht="16.5" customHeight="1" x14ac:dyDescent="0.2">
      <c r="A16" s="48"/>
      <c r="B16" s="50"/>
      <c r="C16" s="37">
        <f>IF($B$2=1,G13+G9+1,G13+G9+G12)</f>
        <v>2.208333333333333</v>
      </c>
      <c r="D16" s="4"/>
      <c r="E16" s="105" t="s">
        <v>3</v>
      </c>
      <c r="F16" s="105"/>
      <c r="G16" s="31">
        <f>$G$7*$G$9+$G$11*($G$7-1)</f>
        <v>14.916666666666666</v>
      </c>
      <c r="H16" s="9"/>
      <c r="I16" s="3"/>
      <c r="J16" s="3"/>
      <c r="K16" s="3"/>
      <c r="L16" s="3"/>
      <c r="M16" s="3"/>
      <c r="N16" s="3"/>
      <c r="O16" s="2"/>
      <c r="P16" s="2"/>
    </row>
    <row r="17" spans="1:16" ht="16.5" customHeight="1" x14ac:dyDescent="0.2">
      <c r="A17" s="48"/>
      <c r="B17" s="50"/>
      <c r="C17" s="4"/>
      <c r="D17" s="4"/>
      <c r="E17" s="105" t="s">
        <v>17</v>
      </c>
      <c r="F17" s="105"/>
      <c r="G17" s="31">
        <f>IF($B$2=1,($G$5-$G$10*$G$16*2)/($G$10*$G$7),($G$5-$G$10*$G$16*2-2*$C$19*$G$14*($G$16+2*$C$19)*$G$15-$G$14*($G$16+2*$C$19)*2*$G$8*$G$15+$G$10*$G$16*2*$G$15)/($G$10*$G$7+$G$14*($G$16+2*$C$19)*$G$15-$G$10*$G$7*$G$15))</f>
        <v>-3.6298286413522507</v>
      </c>
      <c r="H17" s="9" t="s">
        <v>65</v>
      </c>
      <c r="I17" s="3"/>
      <c r="J17" s="3"/>
      <c r="K17" s="3"/>
      <c r="L17" s="3"/>
      <c r="M17" s="3"/>
      <c r="N17" s="3"/>
      <c r="O17" s="2"/>
      <c r="P17" s="2"/>
    </row>
    <row r="18" spans="1:16" ht="16.5" customHeight="1" x14ac:dyDescent="0.2">
      <c r="A18" s="48"/>
      <c r="B18" s="53" t="s">
        <v>73</v>
      </c>
      <c r="C18" s="4"/>
      <c r="D18" s="4"/>
      <c r="E18" s="105" t="s">
        <v>13</v>
      </c>
      <c r="F18" s="105"/>
      <c r="G18" s="34">
        <f>2*$G$16+$G$7*$G$17</f>
        <v>0.79470420251532659</v>
      </c>
      <c r="H18" s="9" t="s">
        <v>78</v>
      </c>
      <c r="I18" s="3"/>
      <c r="J18" s="3"/>
      <c r="K18" s="3"/>
      <c r="L18" s="3"/>
      <c r="M18" s="3"/>
      <c r="N18" s="3"/>
      <c r="O18" s="2"/>
      <c r="P18" s="2"/>
    </row>
    <row r="19" spans="1:16" ht="16.5" customHeight="1" x14ac:dyDescent="0.2">
      <c r="A19" s="48"/>
      <c r="B19" s="57">
        <v>0.5</v>
      </c>
      <c r="C19" s="38">
        <f>(1.5*G9+1-G9)/2</f>
        <v>0.80208333333333337</v>
      </c>
      <c r="D19" s="39">
        <f>G11</f>
        <v>0.75</v>
      </c>
      <c r="E19" s="105" t="s">
        <v>12</v>
      </c>
      <c r="F19" s="105"/>
      <c r="G19" s="31">
        <f>$G$16+1.5*$G$9+1-$G$9</f>
        <v>16.520833333333332</v>
      </c>
      <c r="H19" s="9" t="s">
        <v>59</v>
      </c>
      <c r="I19" s="3"/>
      <c r="J19" s="3"/>
      <c r="K19" s="3"/>
      <c r="L19" s="3"/>
      <c r="M19" s="3"/>
      <c r="N19" s="3"/>
      <c r="O19" s="2"/>
      <c r="P19" s="2"/>
    </row>
    <row r="20" spans="1:16" ht="16.5" customHeight="1" x14ac:dyDescent="0.2">
      <c r="A20" s="48"/>
      <c r="B20" s="50"/>
      <c r="C20" s="60"/>
      <c r="D20" s="61" t="s">
        <v>63</v>
      </c>
      <c r="E20" s="105" t="s">
        <v>14</v>
      </c>
      <c r="F20" s="105"/>
      <c r="G20" s="31">
        <f>$G$17+2*$G$9+1.5*$G$9+1-$G$9</f>
        <v>0.39100469198108256</v>
      </c>
      <c r="H20" s="9" t="s">
        <v>59</v>
      </c>
      <c r="I20" s="3"/>
      <c r="J20" s="3"/>
      <c r="K20" s="3"/>
      <c r="L20" s="3"/>
      <c r="M20" s="3"/>
      <c r="N20" s="3"/>
      <c r="O20" s="2"/>
      <c r="P20" s="2"/>
    </row>
    <row r="21" spans="1:16" ht="16.5" customHeight="1" x14ac:dyDescent="0.2">
      <c r="A21" s="48"/>
      <c r="B21" s="104" t="str">
        <f>IF($B$2=1,"6. Choose height of backfill over pipe (ft)","6. Choose amount of stone storage above pipe (ft)")</f>
        <v>6. Choose amount of stone storage above pipe (ft)</v>
      </c>
      <c r="C21" s="12"/>
      <c r="D21" s="12"/>
      <c r="E21" s="105" t="s">
        <v>48</v>
      </c>
      <c r="F21" s="105"/>
      <c r="G21" s="40">
        <f>IF($B$2=1,(($G$8+1)*$G$19*$G$20-$G$10*$G$18)/27,(($G$8+$G$13+1)*$G$19*$G$20-$G$10*$G$18)/27)</f>
        <v>0.57500552410471228</v>
      </c>
      <c r="H21" s="9" t="s">
        <v>64</v>
      </c>
      <c r="I21" s="3"/>
      <c r="J21" s="3"/>
      <c r="K21" s="3"/>
      <c r="L21" s="3"/>
      <c r="M21" s="3"/>
      <c r="N21" s="3"/>
      <c r="O21" s="2"/>
      <c r="P21" s="2"/>
    </row>
    <row r="22" spans="1:16" ht="16.5" customHeight="1" x14ac:dyDescent="0.2">
      <c r="A22" s="48"/>
      <c r="B22" s="102"/>
      <c r="C22" s="4"/>
      <c r="D22" s="105" t="s">
        <v>49</v>
      </c>
      <c r="E22" s="105"/>
      <c r="F22" s="105"/>
      <c r="G22" s="40">
        <f>$G$18*$G$10</f>
        <v>0.62415922109977129</v>
      </c>
      <c r="H22" s="9"/>
      <c r="I22" s="3"/>
      <c r="J22" s="3"/>
      <c r="K22" s="3"/>
      <c r="L22" s="3"/>
      <c r="M22" s="3"/>
      <c r="N22" s="3"/>
      <c r="O22" s="2"/>
      <c r="P22" s="2"/>
    </row>
    <row r="23" spans="1:16" ht="16.5" customHeight="1" x14ac:dyDescent="0.2">
      <c r="A23" s="48"/>
      <c r="B23" s="57">
        <v>0.5</v>
      </c>
      <c r="C23" s="4"/>
      <c r="D23" s="105" t="s">
        <v>50</v>
      </c>
      <c r="E23" s="105"/>
      <c r="F23" s="105"/>
      <c r="G23" s="40">
        <f>IF($B$2=1,"N/A",($G$20*$G$19*$G$14-$G$22)*$G$15)</f>
        <v>5.456425269640965</v>
      </c>
      <c r="H23" s="9" t="str">
        <f>IF($B$2=1,"Applicable for infiltration systems (i.e. using stone bedding/backfill for storage).","See storage depth note above.")</f>
        <v>See storage depth note above.</v>
      </c>
      <c r="I23" s="3"/>
      <c r="J23" s="3"/>
      <c r="K23" s="3"/>
      <c r="L23" s="3"/>
      <c r="M23" s="3"/>
      <c r="N23" s="3"/>
      <c r="O23" s="2"/>
      <c r="P23" s="2"/>
    </row>
    <row r="24" spans="1:16" ht="16.5" customHeight="1" x14ac:dyDescent="0.2">
      <c r="A24" s="48"/>
      <c r="B24" s="50"/>
      <c r="C24" s="4"/>
      <c r="D24" s="24"/>
      <c r="E24" s="105" t="s">
        <v>51</v>
      </c>
      <c r="F24" s="105"/>
      <c r="G24" s="41">
        <f>IF($B$2=1,$G$22,$G$22+$G$23)</f>
        <v>6.080584490740736</v>
      </c>
      <c r="H24" s="9"/>
      <c r="I24" s="3"/>
      <c r="J24" s="3"/>
      <c r="K24" s="3"/>
      <c r="L24" s="3"/>
      <c r="M24" s="3"/>
      <c r="N24" s="3"/>
      <c r="O24" s="2"/>
      <c r="P24" s="2"/>
    </row>
    <row r="25" spans="1:16" ht="16.5" customHeight="1" thickBot="1" x14ac:dyDescent="0.25">
      <c r="A25" s="54"/>
      <c r="B25" s="55"/>
      <c r="C25" s="24"/>
      <c r="D25" s="24"/>
      <c r="E25" s="24"/>
      <c r="F25" s="24"/>
      <c r="G25" s="42"/>
      <c r="H25" s="9"/>
      <c r="I25" s="3"/>
      <c r="J25" s="3"/>
      <c r="K25" s="3"/>
      <c r="L25" s="3"/>
      <c r="M25" s="3"/>
      <c r="N25" s="3"/>
      <c r="O25" s="2"/>
      <c r="P25" s="2"/>
    </row>
    <row r="26" spans="1:16" ht="16.5" customHeight="1" thickTop="1" x14ac:dyDescent="0.2">
      <c r="A26" s="4"/>
      <c r="B26" s="4"/>
      <c r="C26" s="4"/>
      <c r="D26" s="4"/>
      <c r="E26" s="3"/>
      <c r="F26" s="3"/>
      <c r="G26" s="21"/>
      <c r="H26" s="21"/>
      <c r="I26" s="12"/>
      <c r="J26" s="4"/>
      <c r="K26" s="3"/>
      <c r="L26" s="12"/>
      <c r="M26" s="4"/>
      <c r="N26" s="3"/>
      <c r="O26" s="2"/>
    </row>
    <row r="27" spans="1:16" ht="16.5" customHeight="1" x14ac:dyDescent="0.25">
      <c r="A27" s="4"/>
      <c r="B27" s="4"/>
      <c r="C27" s="16">
        <f>G6</f>
        <v>12</v>
      </c>
      <c r="D27" s="17" t="s">
        <v>57</v>
      </c>
      <c r="E27" s="4"/>
      <c r="F27" s="4"/>
      <c r="G27" s="16">
        <f>B15</f>
        <v>8</v>
      </c>
      <c r="H27" s="18" t="s">
        <v>58</v>
      </c>
      <c r="I27" s="12"/>
      <c r="J27" s="4"/>
      <c r="K27" s="4"/>
      <c r="L27" s="16" t="s">
        <v>60</v>
      </c>
      <c r="M27" s="20">
        <f>C40*H52</f>
        <v>6.459723348770801</v>
      </c>
      <c r="N27" s="19" t="s">
        <v>62</v>
      </c>
    </row>
    <row r="28" spans="1:16" ht="16.5" customHeight="1" x14ac:dyDescent="0.25">
      <c r="A28" s="4"/>
      <c r="B28" s="4"/>
      <c r="C28" s="110" t="str">
        <f>IF(B2=1,"(Solid Wall Detention System)","(Fully Perforated Retention System)")</f>
        <v>(Fully Perforated Retention System)</v>
      </c>
      <c r="D28" s="110"/>
      <c r="E28" s="110"/>
      <c r="F28" s="110"/>
      <c r="G28" s="4"/>
      <c r="H28" s="4"/>
      <c r="I28" s="4"/>
      <c r="J28" s="4"/>
      <c r="K28" s="4"/>
      <c r="L28" s="16" t="s">
        <v>61</v>
      </c>
      <c r="M28" s="20">
        <f>H31*N40</f>
        <v>-18.096332789059964</v>
      </c>
      <c r="N28" s="19" t="s">
        <v>62</v>
      </c>
    </row>
    <row r="29" spans="1:16" ht="16.5" customHeight="1" x14ac:dyDescent="0.2">
      <c r="A29" s="4"/>
      <c r="B29" s="4"/>
      <c r="C29" s="4"/>
      <c r="D29" s="4"/>
      <c r="E29" s="4"/>
      <c r="F29" s="4"/>
      <c r="G29" s="10"/>
      <c r="H29" s="10"/>
      <c r="I29" s="4"/>
      <c r="J29" s="4"/>
      <c r="K29" s="4"/>
      <c r="L29" s="4"/>
      <c r="M29" s="4"/>
      <c r="N29" s="4"/>
    </row>
    <row r="30" spans="1:16" ht="16.5" customHeight="1" x14ac:dyDescent="0.2">
      <c r="A30" s="4"/>
      <c r="B30" s="4"/>
      <c r="C30" s="4"/>
      <c r="D30" s="4"/>
      <c r="E30" s="4"/>
      <c r="F30" s="4"/>
      <c r="G30" s="10"/>
      <c r="H30" s="10" t="s">
        <v>56</v>
      </c>
      <c r="I30" s="4"/>
      <c r="J30" s="4"/>
      <c r="K30" s="4"/>
      <c r="L30" s="4"/>
      <c r="M30" s="4"/>
      <c r="N30" s="4"/>
    </row>
    <row r="31" spans="1:16" ht="16.5" customHeight="1" x14ac:dyDescent="0.2">
      <c r="A31" s="4"/>
      <c r="B31" s="4"/>
      <c r="C31" s="4"/>
      <c r="D31" s="4"/>
      <c r="E31" s="4"/>
      <c r="F31" s="4"/>
      <c r="G31" s="10"/>
      <c r="H31" s="14">
        <f>G17+2*G9</f>
        <v>-1.2131619746855842</v>
      </c>
      <c r="I31" s="4"/>
      <c r="J31" s="4"/>
      <c r="K31" s="4"/>
      <c r="L31" s="4"/>
      <c r="M31" s="4"/>
      <c r="N31" s="4"/>
    </row>
    <row r="32" spans="1:16" ht="16.5" customHeight="1" x14ac:dyDescent="0.2">
      <c r="A32" s="4"/>
      <c r="B32" s="4"/>
      <c r="C32" s="4"/>
      <c r="D32" s="4"/>
      <c r="E32" s="4"/>
      <c r="F32" s="4"/>
      <c r="G32" s="10"/>
      <c r="H32" s="10"/>
      <c r="I32" s="4"/>
      <c r="J32" s="4"/>
      <c r="K32" s="4"/>
      <c r="L32" s="4"/>
      <c r="M32" s="4"/>
      <c r="N32" s="4"/>
    </row>
    <row r="33" spans="1:14" ht="16.5" customHeight="1" x14ac:dyDescent="0.2">
      <c r="A33" s="4"/>
      <c r="B33" s="4"/>
      <c r="C33" s="4"/>
      <c r="D33" s="4"/>
      <c r="E33" s="4"/>
      <c r="F33" s="4"/>
      <c r="G33" s="10"/>
      <c r="H33" s="10"/>
      <c r="I33" s="4"/>
      <c r="J33" s="4"/>
      <c r="K33" s="4"/>
      <c r="L33" s="4"/>
      <c r="M33" s="4"/>
      <c r="N33" s="4"/>
    </row>
    <row r="34" spans="1:14" ht="16.5" customHeight="1" x14ac:dyDescent="0.2">
      <c r="A34" s="4"/>
      <c r="B34" s="4"/>
      <c r="C34" s="4"/>
      <c r="D34" s="4"/>
      <c r="E34" s="4"/>
      <c r="F34" s="4"/>
      <c r="G34" s="10"/>
      <c r="H34" s="10"/>
      <c r="I34" s="4"/>
      <c r="J34" s="4"/>
      <c r="K34" s="4"/>
      <c r="L34" s="4"/>
      <c r="M34" s="4"/>
      <c r="N34" s="4"/>
    </row>
    <row r="35" spans="1:14" ht="16.5" customHeight="1" x14ac:dyDescent="0.2">
      <c r="A35" s="4"/>
      <c r="B35" s="4"/>
      <c r="C35" s="4"/>
      <c r="D35" s="4"/>
      <c r="E35" s="4"/>
      <c r="F35" s="4"/>
      <c r="G35" s="10"/>
      <c r="H35" s="10"/>
      <c r="I35" s="4"/>
      <c r="J35" s="4"/>
      <c r="K35" s="4"/>
      <c r="L35" s="4"/>
      <c r="M35" s="4"/>
      <c r="N35" s="4"/>
    </row>
    <row r="36" spans="1:14" ht="16.5" customHeight="1" x14ac:dyDescent="0.2">
      <c r="A36" s="4"/>
      <c r="B36" s="4"/>
      <c r="C36" s="4"/>
      <c r="D36" s="4"/>
      <c r="E36" s="4"/>
      <c r="F36" s="4"/>
      <c r="G36" s="10"/>
      <c r="H36" s="10"/>
      <c r="I36" s="4"/>
      <c r="J36" s="4"/>
      <c r="K36" s="4"/>
      <c r="L36" s="4"/>
      <c r="M36" s="4"/>
      <c r="N36" s="4"/>
    </row>
    <row r="37" spans="1:14" ht="16.5" customHeight="1" x14ac:dyDescent="0.2">
      <c r="A37" s="4"/>
      <c r="B37" s="4"/>
      <c r="C37" s="4"/>
      <c r="D37" s="4"/>
      <c r="E37" s="4"/>
      <c r="F37" s="4"/>
      <c r="G37" s="10"/>
      <c r="H37" s="10"/>
      <c r="I37" s="4"/>
      <c r="J37" s="4"/>
      <c r="K37" s="4"/>
      <c r="L37" s="4"/>
      <c r="M37" s="4"/>
      <c r="N37" s="4"/>
    </row>
    <row r="38" spans="1:14" ht="16.5" customHeight="1" x14ac:dyDescent="0.2">
      <c r="A38" s="4"/>
      <c r="B38" s="4"/>
      <c r="C38" s="4"/>
      <c r="D38" s="4"/>
      <c r="E38" s="4"/>
      <c r="F38" s="4"/>
      <c r="G38" s="10"/>
      <c r="H38" s="10"/>
      <c r="I38" s="4"/>
      <c r="J38" s="4"/>
      <c r="K38" s="4"/>
      <c r="L38" s="4"/>
      <c r="M38" s="4"/>
      <c r="N38" s="4"/>
    </row>
    <row r="39" spans="1:14" ht="16.5" customHeight="1" x14ac:dyDescent="0.2">
      <c r="A39" s="4"/>
      <c r="B39" s="4"/>
      <c r="C39" s="4"/>
      <c r="D39" s="4"/>
      <c r="E39" s="4"/>
      <c r="F39" s="4"/>
      <c r="G39" s="10"/>
      <c r="H39" s="10"/>
      <c r="I39" s="4"/>
      <c r="J39" s="4"/>
      <c r="K39" s="4"/>
      <c r="L39" s="4"/>
      <c r="M39" s="4"/>
      <c r="N39" s="4"/>
    </row>
    <row r="40" spans="1:14" ht="16.5" customHeight="1" x14ac:dyDescent="0.2">
      <c r="A40" s="4"/>
      <c r="B40" s="4"/>
      <c r="C40" s="15">
        <f>G19</f>
        <v>16.520833333333332</v>
      </c>
      <c r="D40" s="4"/>
      <c r="E40" s="4"/>
      <c r="F40" s="4"/>
      <c r="G40" s="10"/>
      <c r="H40" s="10"/>
      <c r="I40" s="4"/>
      <c r="J40" s="4"/>
      <c r="K40" s="4"/>
      <c r="L40" s="4"/>
      <c r="M40" s="4"/>
      <c r="N40" s="13">
        <f>G16</f>
        <v>14.916666666666666</v>
      </c>
    </row>
    <row r="41" spans="1:14" ht="16.5" customHeight="1" x14ac:dyDescent="0.2">
      <c r="A41" s="4"/>
      <c r="B41" s="4"/>
      <c r="C41" s="11" t="s">
        <v>53</v>
      </c>
      <c r="D41" s="4"/>
      <c r="E41" s="4"/>
      <c r="F41" s="4"/>
      <c r="G41" s="10"/>
      <c r="H41" s="10"/>
      <c r="I41" s="4"/>
      <c r="J41" s="4"/>
      <c r="K41" s="4"/>
      <c r="L41" s="4"/>
      <c r="M41" s="4"/>
      <c r="N41" s="10" t="s">
        <v>55</v>
      </c>
    </row>
    <row r="42" spans="1:14" ht="16.5" customHeight="1" x14ac:dyDescent="0.2">
      <c r="A42" s="4"/>
      <c r="B42" s="4"/>
      <c r="C42" s="11" t="s">
        <v>54</v>
      </c>
      <c r="D42" s="4"/>
      <c r="E42" s="4"/>
      <c r="F42" s="4"/>
      <c r="G42" s="10"/>
      <c r="H42" s="10"/>
      <c r="I42" s="4"/>
      <c r="J42" s="4"/>
      <c r="K42" s="4"/>
      <c r="L42" s="4"/>
      <c r="M42" s="4"/>
      <c r="N42" s="10" t="s">
        <v>54</v>
      </c>
    </row>
    <row r="43" spans="1:14" ht="16.5" customHeight="1" x14ac:dyDescent="0.2">
      <c r="A43" s="4"/>
      <c r="B43" s="4"/>
      <c r="C43" s="4"/>
      <c r="D43" s="4"/>
      <c r="E43" s="4"/>
      <c r="F43" s="4"/>
      <c r="G43" s="10"/>
      <c r="H43" s="10"/>
      <c r="I43" s="4"/>
      <c r="J43" s="4"/>
      <c r="K43" s="4"/>
      <c r="L43" s="4"/>
      <c r="M43" s="4"/>
      <c r="N43" s="4"/>
    </row>
    <row r="44" spans="1:14" ht="16.5" customHeight="1" x14ac:dyDescent="0.2">
      <c r="A44" s="4"/>
      <c r="B44" s="4"/>
      <c r="C44" s="4"/>
      <c r="D44" s="4"/>
      <c r="E44" s="4"/>
      <c r="F44" s="4"/>
      <c r="G44" s="10"/>
      <c r="H44" s="10"/>
      <c r="I44" s="4"/>
      <c r="J44" s="4"/>
      <c r="K44" s="4"/>
      <c r="L44" s="4"/>
      <c r="M44" s="4"/>
      <c r="N44" s="4"/>
    </row>
    <row r="45" spans="1:14" ht="16.5" customHeight="1" x14ac:dyDescent="0.2">
      <c r="A45" s="4"/>
      <c r="B45" s="4"/>
      <c r="C45" s="4"/>
      <c r="D45" s="4"/>
      <c r="E45" s="4"/>
      <c r="F45" s="4"/>
      <c r="G45" s="10"/>
      <c r="H45" s="10"/>
      <c r="I45" s="4"/>
      <c r="J45" s="4"/>
      <c r="K45" s="4"/>
      <c r="L45" s="4"/>
      <c r="M45" s="4"/>
      <c r="N45" s="4"/>
    </row>
    <row r="46" spans="1:14" ht="16.5" customHeight="1" x14ac:dyDescent="0.2">
      <c r="A46" s="4"/>
      <c r="B46" s="4"/>
      <c r="C46" s="4"/>
      <c r="D46" s="4"/>
      <c r="E46" s="4"/>
      <c r="F46" s="4"/>
      <c r="G46" s="10"/>
      <c r="H46" s="10"/>
      <c r="I46" s="4"/>
      <c r="J46" s="4"/>
      <c r="K46" s="4"/>
      <c r="L46" s="4"/>
      <c r="M46" s="4"/>
      <c r="N46" s="4"/>
    </row>
    <row r="47" spans="1:14" ht="16.5" customHeight="1" x14ac:dyDescent="0.2">
      <c r="A47" s="4"/>
      <c r="B47" s="4"/>
      <c r="C47" s="4"/>
      <c r="D47" s="4"/>
      <c r="E47" s="4"/>
      <c r="F47" s="4"/>
      <c r="G47" s="10"/>
      <c r="H47" s="10"/>
      <c r="I47" s="4"/>
      <c r="J47" s="4"/>
      <c r="K47" s="4"/>
      <c r="L47" s="4"/>
      <c r="M47" s="4"/>
      <c r="N47" s="4"/>
    </row>
    <row r="48" spans="1:14" ht="16.5" customHeight="1" x14ac:dyDescent="0.2">
      <c r="A48" s="4"/>
      <c r="B48" s="4"/>
      <c r="C48" s="4"/>
      <c r="D48" s="4"/>
      <c r="E48" s="4"/>
      <c r="F48" s="4"/>
      <c r="G48" s="10"/>
      <c r="H48" s="10"/>
      <c r="I48" s="4"/>
      <c r="J48" s="4"/>
      <c r="K48" s="4"/>
      <c r="L48" s="4"/>
      <c r="M48" s="4"/>
      <c r="N48" s="4"/>
    </row>
    <row r="49" spans="1:14" ht="16.5" customHeight="1" x14ac:dyDescent="0.2">
      <c r="A49" s="4"/>
      <c r="B49" s="4"/>
      <c r="C49" s="4"/>
      <c r="D49" s="4"/>
      <c r="E49" s="4"/>
      <c r="F49" s="4"/>
      <c r="G49" s="10"/>
      <c r="H49" s="10"/>
      <c r="I49" s="4"/>
      <c r="J49" s="4"/>
      <c r="K49" s="4"/>
      <c r="L49" s="4"/>
      <c r="M49" s="4"/>
      <c r="N49" s="4"/>
    </row>
    <row r="50" spans="1:14" ht="16.5" customHeight="1" x14ac:dyDescent="0.2">
      <c r="A50" s="4"/>
      <c r="B50" s="4"/>
      <c r="C50" s="4"/>
      <c r="D50" s="4"/>
      <c r="E50" s="4"/>
      <c r="F50" s="4"/>
      <c r="G50" s="10"/>
      <c r="H50" s="10"/>
      <c r="I50" s="4"/>
      <c r="J50" s="4"/>
      <c r="K50" s="4"/>
      <c r="L50" s="4"/>
      <c r="M50" s="4"/>
      <c r="N50" s="4"/>
    </row>
    <row r="51" spans="1:14" ht="16.5" customHeight="1" x14ac:dyDescent="0.2">
      <c r="A51" s="4"/>
      <c r="B51" s="4"/>
      <c r="C51" s="4"/>
      <c r="D51" s="4"/>
      <c r="E51" s="4"/>
      <c r="F51" s="4"/>
      <c r="G51" s="10"/>
      <c r="H51" s="10"/>
      <c r="I51" s="4"/>
      <c r="J51" s="4"/>
      <c r="K51" s="4"/>
      <c r="L51" s="4"/>
      <c r="M51" s="4"/>
      <c r="N51" s="4"/>
    </row>
    <row r="52" spans="1:14" ht="16.5" customHeight="1" x14ac:dyDescent="0.2">
      <c r="A52" s="4"/>
      <c r="B52" s="4"/>
      <c r="C52" s="4"/>
      <c r="D52" s="4"/>
      <c r="E52" s="4"/>
      <c r="F52" s="4"/>
      <c r="G52" s="10"/>
      <c r="H52" s="14">
        <f>G20</f>
        <v>0.39100469198108256</v>
      </c>
      <c r="I52" s="4"/>
      <c r="J52" s="4"/>
      <c r="K52" s="4"/>
      <c r="L52" s="4"/>
      <c r="M52" s="4"/>
      <c r="N52" s="4"/>
    </row>
    <row r="53" spans="1:14" ht="16.5" customHeight="1" x14ac:dyDescent="0.2">
      <c r="A53" s="4"/>
      <c r="B53" s="4"/>
      <c r="C53" s="4"/>
      <c r="D53" s="4"/>
      <c r="E53" s="4"/>
      <c r="F53" s="4"/>
      <c r="G53" s="10"/>
      <c r="H53" s="10" t="s">
        <v>14</v>
      </c>
      <c r="I53" s="4"/>
      <c r="J53" s="4"/>
      <c r="K53" s="4"/>
      <c r="L53" s="4"/>
      <c r="M53" s="4"/>
      <c r="N53" s="4"/>
    </row>
    <row r="54" spans="1:14" ht="16.5" customHeight="1" x14ac:dyDescent="0.2">
      <c r="A54" s="4"/>
      <c r="B54" s="4"/>
      <c r="C54" s="4"/>
      <c r="D54" s="4"/>
      <c r="E54" s="4"/>
      <c r="F54" s="4"/>
      <c r="G54" s="10"/>
      <c r="H54" s="10"/>
      <c r="I54" s="4"/>
      <c r="J54" s="4"/>
      <c r="K54" s="4"/>
      <c r="L54" s="4"/>
      <c r="M54" s="4"/>
      <c r="N54" s="4"/>
    </row>
    <row r="55" spans="1:14" ht="16.5" customHeight="1" x14ac:dyDescent="0.2"/>
    <row r="56" spans="1:14" ht="16.5" customHeight="1" x14ac:dyDescent="0.2"/>
    <row r="57" spans="1:14" ht="16.5" customHeight="1" x14ac:dyDescent="0.2"/>
    <row r="58" spans="1:14" ht="16.5" customHeight="1" x14ac:dyDescent="0.2"/>
    <row r="59" spans="1:14" ht="16.5" customHeight="1" x14ac:dyDescent="0.2"/>
    <row r="60" spans="1:14" ht="16.5" customHeight="1" x14ac:dyDescent="0.2"/>
    <row r="61" spans="1:14" ht="16.5" customHeight="1" x14ac:dyDescent="0.2"/>
    <row r="62" spans="1:14" ht="16.5" customHeight="1" x14ac:dyDescent="0.2"/>
    <row r="63" spans="1:14" ht="16.5" customHeight="1" x14ac:dyDescent="0.2"/>
    <row r="64" spans="1:1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</sheetData>
  <sheetProtection algorithmName="SHA-512" hashValue="UDYkjxAw8EV9ydHf265tbPT4L9KW9orjrqbJhdt4SIS65oRXjLjOUlwx7rebfcsFywj7JL0VrOxyjk3NVAJYDw==" saltValue="Wi1quMWOeNcTetmau8+BkA==" spinCount="100000" sheet="1" selectLockedCells="1"/>
  <mergeCells count="23">
    <mergeCell ref="D23:F23"/>
    <mergeCell ref="E24:F24"/>
    <mergeCell ref="C6:D8"/>
    <mergeCell ref="C28:F28"/>
    <mergeCell ref="C1:D3"/>
    <mergeCell ref="E2:G3"/>
    <mergeCell ref="D10:F10"/>
    <mergeCell ref="E11:F11"/>
    <mergeCell ref="D12:F12"/>
    <mergeCell ref="D22:F22"/>
    <mergeCell ref="E21:F21"/>
    <mergeCell ref="E17:F17"/>
    <mergeCell ref="E18:F18"/>
    <mergeCell ref="E19:F19"/>
    <mergeCell ref="E20:F20"/>
    <mergeCell ref="E14:F14"/>
    <mergeCell ref="B4:B6"/>
    <mergeCell ref="B21:B22"/>
    <mergeCell ref="E7:F7"/>
    <mergeCell ref="E5:F5"/>
    <mergeCell ref="E6:F6"/>
    <mergeCell ref="E15:F15"/>
    <mergeCell ref="E16:F16"/>
  </mergeCells>
  <phoneticPr fontId="4" type="noConversion"/>
  <printOptions horizontalCentered="1"/>
  <pageMargins left="0.75" right="0.75" top="1.4791666666666667" bottom="1" header="0.5" footer="0.5"/>
  <pageSetup scale="50" orientation="portrait" horizontalDpi="1200" verticalDpi="1200" r:id="rId1"/>
  <headerFooter alignWithMargins="0">
    <oddHeader>&amp;C&amp;G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3" r:id="rId5" name="Drop Down 5">
              <controlPr defaultSize="0" autoLine="0" autoPict="0">
                <anchor moveWithCells="1">
                  <from>
                    <xdr:col>1</xdr:col>
                    <xdr:colOff>1019175</xdr:colOff>
                    <xdr:row>10</xdr:row>
                    <xdr:rowOff>9525</xdr:rowOff>
                  </from>
                  <to>
                    <xdr:col>1</xdr:col>
                    <xdr:colOff>1543050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6" name="Drop Down 44">
              <controlPr defaultSize="0" autoLine="0" autoPict="0">
                <anchor moveWithCells="1">
                  <from>
                    <xdr:col>1</xdr:col>
                    <xdr:colOff>1066800</xdr:colOff>
                    <xdr:row>14</xdr:row>
                    <xdr:rowOff>9525</xdr:rowOff>
                  </from>
                  <to>
                    <xdr:col>1</xdr:col>
                    <xdr:colOff>1533525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7" name="Drop Down 45">
              <controlPr defaultSize="0" autoLine="0" autoPict="0">
                <anchor moveWithCells="1">
                  <from>
                    <xdr:col>1</xdr:col>
                    <xdr:colOff>828675</xdr:colOff>
                    <xdr:row>1</xdr:row>
                    <xdr:rowOff>9525</xdr:rowOff>
                  </from>
                  <to>
                    <xdr:col>1</xdr:col>
                    <xdr:colOff>1552575</xdr:colOff>
                    <xdr:row>1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Data!$F$17:$F$21</xm:f>
          </x14:formula1>
          <xm:sqref>B23</xm:sqref>
        </x14:dataValidation>
        <x14:dataValidation type="list" allowBlank="1" showInputMessage="1" showErrorMessage="1" xr:uid="{8BE5C853-620B-42AD-A888-B1BE0A11789C}">
          <x14:formula1>
            <xm:f>Data!$F$17:$F$21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43"/>
  <sheetViews>
    <sheetView zoomScale="85" zoomScaleNormal="70" workbookViewId="0">
      <selection activeCell="H27" sqref="H27"/>
    </sheetView>
  </sheetViews>
  <sheetFormatPr defaultColWidth="8.85546875" defaultRowHeight="12.75" x14ac:dyDescent="0.2"/>
  <cols>
    <col min="1" max="1" width="4.42578125" style="63" customWidth="1"/>
    <col min="2" max="2" width="10.5703125" style="63" customWidth="1"/>
    <col min="3" max="3" width="9.7109375" style="63" customWidth="1"/>
    <col min="4" max="4" width="13.28515625" style="63" customWidth="1"/>
    <col min="5" max="5" width="9.28515625" style="63" customWidth="1"/>
    <col min="6" max="6" width="12.7109375" style="63" customWidth="1"/>
    <col min="7" max="8" width="12.7109375" style="64" customWidth="1"/>
    <col min="9" max="9" width="10.28515625" style="64" customWidth="1"/>
    <col min="10" max="10" width="11.140625" style="64" customWidth="1"/>
    <col min="11" max="11" width="8.85546875" style="64"/>
    <col min="12" max="12" width="9.7109375" style="64" customWidth="1"/>
    <col min="13" max="13" width="8.85546875" style="64"/>
    <col min="14" max="14" width="7.5703125" style="64" customWidth="1"/>
    <col min="15" max="15" width="11.42578125" style="64" customWidth="1"/>
    <col min="16" max="16384" width="8.85546875" style="64"/>
  </cols>
  <sheetData>
    <row r="1" spans="1:15" x14ac:dyDescent="0.2">
      <c r="A1" s="62"/>
    </row>
    <row r="2" spans="1:15" ht="13.5" thickBot="1" x14ac:dyDescent="0.25">
      <c r="A2" s="65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</row>
    <row r="3" spans="1:15" ht="13.5" thickBot="1" x14ac:dyDescent="0.25">
      <c r="A3" s="67"/>
      <c r="B3" s="118" t="s">
        <v>0</v>
      </c>
      <c r="C3" s="119"/>
      <c r="D3" s="119"/>
      <c r="E3" s="120"/>
      <c r="F3" s="68" t="s">
        <v>18</v>
      </c>
      <c r="G3" s="68" t="s">
        <v>1</v>
      </c>
      <c r="H3" s="68" t="s">
        <v>9</v>
      </c>
      <c r="I3" s="118" t="s">
        <v>11</v>
      </c>
      <c r="J3" s="120"/>
      <c r="K3" s="68" t="s">
        <v>28</v>
      </c>
      <c r="L3" s="68" t="s">
        <v>29</v>
      </c>
      <c r="M3" s="116" t="s">
        <v>31</v>
      </c>
      <c r="N3" s="117"/>
      <c r="O3" s="68" t="s">
        <v>29</v>
      </c>
    </row>
    <row r="4" spans="1:15" ht="13.5" thickBot="1" x14ac:dyDescent="0.25">
      <c r="A4" s="67"/>
      <c r="B4" s="69" t="s">
        <v>34</v>
      </c>
      <c r="C4" s="69" t="s">
        <v>35</v>
      </c>
      <c r="D4" s="69" t="s">
        <v>32</v>
      </c>
      <c r="E4" s="69" t="s">
        <v>33</v>
      </c>
      <c r="F4" s="70" t="s">
        <v>10</v>
      </c>
      <c r="G4" s="70" t="s">
        <v>2</v>
      </c>
      <c r="H4" s="70" t="s">
        <v>8</v>
      </c>
      <c r="I4" s="69" t="s">
        <v>6</v>
      </c>
      <c r="J4" s="69" t="s">
        <v>7</v>
      </c>
      <c r="K4" s="70" t="s">
        <v>21</v>
      </c>
      <c r="L4" s="70" t="s">
        <v>22</v>
      </c>
      <c r="M4" s="71" t="s">
        <v>19</v>
      </c>
      <c r="N4" s="72" t="s">
        <v>20</v>
      </c>
      <c r="O4" s="70" t="s">
        <v>30</v>
      </c>
    </row>
    <row r="5" spans="1:15" x14ac:dyDescent="0.2">
      <c r="A5" s="73">
        <v>1</v>
      </c>
      <c r="B5" s="74">
        <v>12</v>
      </c>
      <c r="C5" s="75">
        <f t="shared" ref="C5:C13" si="0">$B5/12</f>
        <v>1</v>
      </c>
      <c r="D5" s="74">
        <v>14.5</v>
      </c>
      <c r="E5" s="75">
        <f t="shared" ref="E5:E13" si="1">D5/12</f>
        <v>1.2083333333333333</v>
      </c>
      <c r="F5" s="74">
        <v>0.75</v>
      </c>
      <c r="G5" s="76">
        <f t="shared" ref="G5:G13" si="2">PI()*(($C5/2)^2)</f>
        <v>0.78539816339744828</v>
      </c>
      <c r="H5" s="75">
        <f t="shared" ref="H5:H13" si="3">IF(B5/8&lt;12,1,B5/96)</f>
        <v>1</v>
      </c>
      <c r="I5" s="75">
        <f t="shared" ref="I5:I13" si="4">IF(B5&gt;48,IF(B5/2&gt;36,3,B5/24),2)</f>
        <v>2</v>
      </c>
      <c r="J5" s="75">
        <f t="shared" ref="J5:J13" si="5">IF(B5&lt;24,1,IF(B5&lt;=72,B5/24,3))</f>
        <v>1</v>
      </c>
      <c r="K5" s="74">
        <v>12</v>
      </c>
      <c r="L5" s="74" t="s">
        <v>43</v>
      </c>
      <c r="M5" s="63">
        <v>0</v>
      </c>
      <c r="N5" s="63">
        <v>9</v>
      </c>
      <c r="O5" s="77">
        <f t="shared" ref="O5:O13" si="6">M5+N5/12</f>
        <v>0.75</v>
      </c>
    </row>
    <row r="6" spans="1:15" x14ac:dyDescent="0.2">
      <c r="A6" s="73">
        <v>2</v>
      </c>
      <c r="B6" s="78">
        <v>15</v>
      </c>
      <c r="C6" s="79">
        <f t="shared" si="0"/>
        <v>1.25</v>
      </c>
      <c r="D6" s="78">
        <v>17.5</v>
      </c>
      <c r="E6" s="79">
        <f t="shared" si="1"/>
        <v>1.4583333333333333</v>
      </c>
      <c r="F6" s="78">
        <v>1.125</v>
      </c>
      <c r="G6" s="77">
        <f t="shared" si="2"/>
        <v>1.227184630308513</v>
      </c>
      <c r="H6" s="79">
        <f t="shared" si="3"/>
        <v>1</v>
      </c>
      <c r="I6" s="79">
        <f t="shared" si="4"/>
        <v>2</v>
      </c>
      <c r="J6" s="79">
        <f t="shared" si="5"/>
        <v>1</v>
      </c>
      <c r="K6" s="78">
        <v>15</v>
      </c>
      <c r="L6" s="78" t="s">
        <v>42</v>
      </c>
      <c r="M6" s="63">
        <v>1</v>
      </c>
      <c r="N6" s="63">
        <v>1.5</v>
      </c>
      <c r="O6" s="77">
        <f t="shared" si="6"/>
        <v>1.125</v>
      </c>
    </row>
    <row r="7" spans="1:15" x14ac:dyDescent="0.2">
      <c r="A7" s="73">
        <v>3</v>
      </c>
      <c r="B7" s="78">
        <v>18</v>
      </c>
      <c r="C7" s="79">
        <f t="shared" si="0"/>
        <v>1.5</v>
      </c>
      <c r="D7" s="80">
        <v>21.5</v>
      </c>
      <c r="E7" s="79">
        <f t="shared" si="1"/>
        <v>1.7916666666666667</v>
      </c>
      <c r="F7" s="80">
        <v>1.17</v>
      </c>
      <c r="G7" s="77">
        <f t="shared" si="2"/>
        <v>1.7671458676442586</v>
      </c>
      <c r="H7" s="79">
        <f t="shared" si="3"/>
        <v>1</v>
      </c>
      <c r="I7" s="79">
        <f t="shared" si="4"/>
        <v>2</v>
      </c>
      <c r="J7" s="79">
        <f t="shared" si="5"/>
        <v>1</v>
      </c>
      <c r="K7" s="80">
        <v>18</v>
      </c>
      <c r="L7" s="78" t="s">
        <v>41</v>
      </c>
      <c r="M7" s="81">
        <v>1</v>
      </c>
      <c r="N7" s="82">
        <v>2</v>
      </c>
      <c r="O7" s="77">
        <f t="shared" si="6"/>
        <v>1.1666666666666667</v>
      </c>
    </row>
    <row r="8" spans="1:15" x14ac:dyDescent="0.2">
      <c r="A8" s="73">
        <v>4</v>
      </c>
      <c r="B8" s="78">
        <v>24</v>
      </c>
      <c r="C8" s="79">
        <f t="shared" si="0"/>
        <v>2</v>
      </c>
      <c r="D8" s="83">
        <v>28</v>
      </c>
      <c r="E8" s="79">
        <f t="shared" si="1"/>
        <v>2.3333333333333335</v>
      </c>
      <c r="F8" s="79">
        <v>1.6</v>
      </c>
      <c r="G8" s="77">
        <f t="shared" si="2"/>
        <v>3.1415926535897931</v>
      </c>
      <c r="H8" s="79">
        <f t="shared" si="3"/>
        <v>1</v>
      </c>
      <c r="I8" s="79">
        <f t="shared" si="4"/>
        <v>2</v>
      </c>
      <c r="J8" s="79">
        <f t="shared" si="5"/>
        <v>1</v>
      </c>
      <c r="K8" s="78">
        <v>24</v>
      </c>
      <c r="L8" s="78" t="s">
        <v>23</v>
      </c>
      <c r="M8" s="62">
        <v>1</v>
      </c>
      <c r="N8" s="84">
        <v>7.25</v>
      </c>
      <c r="O8" s="77">
        <f t="shared" si="6"/>
        <v>1.6041666666666665</v>
      </c>
    </row>
    <row r="9" spans="1:15" x14ac:dyDescent="0.2">
      <c r="A9" s="73">
        <v>5</v>
      </c>
      <c r="B9" s="78">
        <v>30</v>
      </c>
      <c r="C9" s="79">
        <f t="shared" si="0"/>
        <v>2.5</v>
      </c>
      <c r="D9" s="83">
        <v>34.5</v>
      </c>
      <c r="E9" s="79">
        <f t="shared" si="1"/>
        <v>2.875</v>
      </c>
      <c r="F9" s="79">
        <v>1.79</v>
      </c>
      <c r="G9" s="77">
        <f t="shared" si="2"/>
        <v>4.908738521234052</v>
      </c>
      <c r="H9" s="79">
        <f t="shared" si="3"/>
        <v>1</v>
      </c>
      <c r="I9" s="79">
        <f t="shared" si="4"/>
        <v>2</v>
      </c>
      <c r="J9" s="79">
        <f t="shared" si="5"/>
        <v>1.25</v>
      </c>
      <c r="K9" s="78">
        <v>30</v>
      </c>
      <c r="L9" s="78" t="s">
        <v>24</v>
      </c>
      <c r="M9" s="85">
        <v>1</v>
      </c>
      <c r="N9" s="84">
        <v>9.5</v>
      </c>
      <c r="O9" s="77">
        <f t="shared" si="6"/>
        <v>1.7916666666666665</v>
      </c>
    </row>
    <row r="10" spans="1:15" x14ac:dyDescent="0.2">
      <c r="A10" s="86">
        <v>6</v>
      </c>
      <c r="B10" s="78">
        <v>36</v>
      </c>
      <c r="C10" s="79">
        <f t="shared" si="0"/>
        <v>3</v>
      </c>
      <c r="D10" s="83">
        <v>41</v>
      </c>
      <c r="E10" s="79">
        <f t="shared" si="1"/>
        <v>3.4166666666666665</v>
      </c>
      <c r="F10" s="79">
        <v>1.92</v>
      </c>
      <c r="G10" s="77">
        <f t="shared" si="2"/>
        <v>7.0685834705770345</v>
      </c>
      <c r="H10" s="79">
        <f t="shared" si="3"/>
        <v>1</v>
      </c>
      <c r="I10" s="79">
        <f t="shared" si="4"/>
        <v>2</v>
      </c>
      <c r="J10" s="79">
        <f t="shared" si="5"/>
        <v>1.5</v>
      </c>
      <c r="K10" s="78">
        <v>36</v>
      </c>
      <c r="L10" s="78" t="s">
        <v>25</v>
      </c>
      <c r="M10" s="85">
        <v>1</v>
      </c>
      <c r="N10" s="84">
        <v>11</v>
      </c>
      <c r="O10" s="77">
        <f t="shared" si="6"/>
        <v>1.9166666666666665</v>
      </c>
    </row>
    <row r="11" spans="1:15" x14ac:dyDescent="0.2">
      <c r="A11" s="86">
        <v>7</v>
      </c>
      <c r="B11" s="78">
        <v>42</v>
      </c>
      <c r="C11" s="79">
        <f t="shared" si="0"/>
        <v>3.5</v>
      </c>
      <c r="D11" s="83">
        <v>47.5</v>
      </c>
      <c r="E11" s="79">
        <f t="shared" si="1"/>
        <v>3.9583333333333335</v>
      </c>
      <c r="F11" s="79">
        <v>2.27</v>
      </c>
      <c r="G11" s="77">
        <f t="shared" si="2"/>
        <v>9.6211275016187408</v>
      </c>
      <c r="H11" s="79">
        <f t="shared" si="3"/>
        <v>1</v>
      </c>
      <c r="I11" s="79">
        <f t="shared" si="4"/>
        <v>2</v>
      </c>
      <c r="J11" s="79">
        <f t="shared" si="5"/>
        <v>1.75</v>
      </c>
      <c r="K11" s="78">
        <v>42</v>
      </c>
      <c r="L11" s="78" t="s">
        <v>26</v>
      </c>
      <c r="M11" s="85">
        <v>2</v>
      </c>
      <c r="N11" s="84">
        <v>3.25</v>
      </c>
      <c r="O11" s="77">
        <f t="shared" si="6"/>
        <v>2.2708333333333335</v>
      </c>
    </row>
    <row r="12" spans="1:15" x14ac:dyDescent="0.2">
      <c r="A12" s="86">
        <v>8</v>
      </c>
      <c r="B12" s="78">
        <v>48</v>
      </c>
      <c r="C12" s="79">
        <f t="shared" si="0"/>
        <v>4</v>
      </c>
      <c r="D12" s="83">
        <v>54.5</v>
      </c>
      <c r="E12" s="79">
        <f t="shared" ref="E12" si="7">D12/12</f>
        <v>4.541666666666667</v>
      </c>
      <c r="F12" s="79">
        <v>1.69</v>
      </c>
      <c r="G12" s="77">
        <f t="shared" si="2"/>
        <v>12.566370614359172</v>
      </c>
      <c r="H12" s="79">
        <f t="shared" ref="H12" si="8">IF(B12/8&lt;12,1,B12/96)</f>
        <v>1</v>
      </c>
      <c r="I12" s="79">
        <f t="shared" ref="I12" si="9">IF(B12&gt;48,IF(B12/2&gt;36,3,B12/24),2)</f>
        <v>2</v>
      </c>
      <c r="J12" s="79">
        <f t="shared" ref="J12" si="10">IF(B12&lt;24,1,IF(B12&lt;=72,B12/24,3))</f>
        <v>2</v>
      </c>
      <c r="K12" s="78">
        <v>48</v>
      </c>
      <c r="L12" s="78" t="s">
        <v>27</v>
      </c>
      <c r="M12" s="85">
        <v>1</v>
      </c>
      <c r="N12" s="84">
        <v>8.25</v>
      </c>
      <c r="O12" s="77">
        <f t="shared" ref="O12" si="11">M12+N12/12</f>
        <v>1.6875</v>
      </c>
    </row>
    <row r="13" spans="1:15" ht="13.5" thickBot="1" x14ac:dyDescent="0.25">
      <c r="A13" s="86">
        <v>9</v>
      </c>
      <c r="B13" s="87">
        <v>60</v>
      </c>
      <c r="C13" s="88">
        <f t="shared" si="0"/>
        <v>5</v>
      </c>
      <c r="D13" s="89">
        <v>66.900000000000006</v>
      </c>
      <c r="E13" s="88">
        <f t="shared" si="1"/>
        <v>5.5750000000000002</v>
      </c>
      <c r="F13" s="88">
        <v>1.9375</v>
      </c>
      <c r="G13" s="90">
        <f t="shared" si="2"/>
        <v>19.634954084936208</v>
      </c>
      <c r="H13" s="88">
        <f t="shared" si="3"/>
        <v>1</v>
      </c>
      <c r="I13" s="88">
        <f t="shared" si="4"/>
        <v>2.5</v>
      </c>
      <c r="J13" s="88">
        <f t="shared" si="5"/>
        <v>2.5</v>
      </c>
      <c r="K13" s="87">
        <v>60</v>
      </c>
      <c r="L13" s="87" t="s">
        <v>26</v>
      </c>
      <c r="M13" s="91">
        <v>2</v>
      </c>
      <c r="N13" s="92">
        <v>3.25</v>
      </c>
      <c r="O13" s="90">
        <f t="shared" si="6"/>
        <v>2.2708333333333335</v>
      </c>
    </row>
    <row r="14" spans="1:15" ht="13.5" thickBot="1" x14ac:dyDescent="0.25">
      <c r="A14" s="86">
        <v>10</v>
      </c>
    </row>
    <row r="15" spans="1:15" x14ac:dyDescent="0.2">
      <c r="A15" s="86">
        <v>11</v>
      </c>
      <c r="B15" s="64"/>
      <c r="C15" s="93">
        <v>1</v>
      </c>
      <c r="D15" s="94" t="s">
        <v>4</v>
      </c>
      <c r="F15" s="68" t="s">
        <v>36</v>
      </c>
    </row>
    <row r="16" spans="1:15" ht="13.5" thickBot="1" x14ac:dyDescent="0.25">
      <c r="A16" s="86">
        <v>12</v>
      </c>
      <c r="B16" s="64"/>
      <c r="C16" s="93">
        <v>2</v>
      </c>
      <c r="D16" s="95" t="s">
        <v>5</v>
      </c>
      <c r="F16" s="122" t="s">
        <v>37</v>
      </c>
    </row>
    <row r="17" spans="1:16" x14ac:dyDescent="0.2">
      <c r="A17" s="86">
        <v>13</v>
      </c>
      <c r="B17" s="64"/>
      <c r="C17" s="93"/>
      <c r="D17" s="121"/>
      <c r="F17" s="123">
        <v>0</v>
      </c>
    </row>
    <row r="18" spans="1:16" x14ac:dyDescent="0.2">
      <c r="A18" s="86">
        <v>14</v>
      </c>
      <c r="B18" s="64"/>
      <c r="C18" s="64"/>
      <c r="D18" s="64"/>
      <c r="F18" s="79">
        <v>0.33</v>
      </c>
    </row>
    <row r="19" spans="1:16" x14ac:dyDescent="0.2">
      <c r="A19" s="86">
        <v>15</v>
      </c>
      <c r="B19" s="64"/>
      <c r="C19" s="64"/>
      <c r="F19" s="79">
        <v>0.5</v>
      </c>
    </row>
    <row r="20" spans="1:16" x14ac:dyDescent="0.2">
      <c r="A20" s="86">
        <v>16</v>
      </c>
      <c r="B20" s="64"/>
      <c r="C20" s="64"/>
      <c r="F20" s="79">
        <v>0.75</v>
      </c>
    </row>
    <row r="21" spans="1:16" ht="13.5" thickBot="1" x14ac:dyDescent="0.25">
      <c r="A21" s="86">
        <v>17</v>
      </c>
      <c r="F21" s="96">
        <v>1</v>
      </c>
    </row>
    <row r="22" spans="1:16" x14ac:dyDescent="0.2">
      <c r="A22" s="86">
        <v>18</v>
      </c>
    </row>
    <row r="23" spans="1:16" x14ac:dyDescent="0.2">
      <c r="A23" s="86">
        <v>19</v>
      </c>
    </row>
    <row r="24" spans="1:16" x14ac:dyDescent="0.2">
      <c r="A24" s="86">
        <v>20</v>
      </c>
    </row>
    <row r="25" spans="1:16" x14ac:dyDescent="0.2">
      <c r="A25" s="86">
        <v>21</v>
      </c>
    </row>
    <row r="26" spans="1:16" x14ac:dyDescent="0.2">
      <c r="A26" s="86">
        <v>22</v>
      </c>
      <c r="G26" s="97"/>
      <c r="H26" s="97"/>
      <c r="I26" s="97"/>
      <c r="J26" s="97"/>
      <c r="K26" s="97"/>
      <c r="L26" s="97"/>
      <c r="M26" s="97"/>
      <c r="N26" s="97"/>
      <c r="O26" s="98"/>
    </row>
    <row r="27" spans="1:16" x14ac:dyDescent="0.2">
      <c r="A27" s="86">
        <v>23</v>
      </c>
      <c r="O27" s="99"/>
      <c r="P27" s="115"/>
    </row>
    <row r="28" spans="1:16" x14ac:dyDescent="0.2">
      <c r="A28" s="86">
        <v>24</v>
      </c>
      <c r="P28" s="115"/>
    </row>
    <row r="29" spans="1:16" x14ac:dyDescent="0.2">
      <c r="A29" s="86">
        <v>25</v>
      </c>
      <c r="P29" s="115"/>
    </row>
    <row r="30" spans="1:16" x14ac:dyDescent="0.2">
      <c r="A30" s="86">
        <v>26</v>
      </c>
      <c r="P30" s="100"/>
    </row>
    <row r="31" spans="1:16" x14ac:dyDescent="0.2">
      <c r="A31" s="86">
        <v>27</v>
      </c>
      <c r="F31" s="64"/>
      <c r="P31" s="100"/>
    </row>
    <row r="32" spans="1:16" x14ac:dyDescent="0.2">
      <c r="A32" s="86">
        <v>28</v>
      </c>
      <c r="P32" s="100"/>
    </row>
    <row r="33" spans="1:16" x14ac:dyDescent="0.2">
      <c r="A33" s="86">
        <v>29</v>
      </c>
      <c r="P33" s="100"/>
    </row>
    <row r="34" spans="1:16" x14ac:dyDescent="0.2">
      <c r="A34" s="86">
        <v>30</v>
      </c>
      <c r="P34" s="100"/>
    </row>
    <row r="35" spans="1:16" x14ac:dyDescent="0.2">
      <c r="A35" s="86">
        <v>31</v>
      </c>
      <c r="G35" s="98"/>
      <c r="H35" s="98"/>
      <c r="I35" s="98"/>
      <c r="J35" s="98"/>
      <c r="K35" s="98"/>
      <c r="L35" s="98"/>
      <c r="M35" s="98"/>
      <c r="N35" s="98"/>
      <c r="O35" s="98"/>
    </row>
    <row r="36" spans="1:16" x14ac:dyDescent="0.2">
      <c r="A36" s="86">
        <v>32</v>
      </c>
    </row>
    <row r="37" spans="1:16" x14ac:dyDescent="0.2">
      <c r="A37" s="86">
        <v>33</v>
      </c>
    </row>
    <row r="38" spans="1:16" x14ac:dyDescent="0.2">
      <c r="A38" s="86">
        <v>34</v>
      </c>
    </row>
    <row r="39" spans="1:16" x14ac:dyDescent="0.2">
      <c r="A39" s="86">
        <v>35</v>
      </c>
    </row>
    <row r="40" spans="1:16" x14ac:dyDescent="0.2">
      <c r="A40" s="86">
        <v>36</v>
      </c>
    </row>
    <row r="41" spans="1:16" x14ac:dyDescent="0.2">
      <c r="A41" s="86">
        <v>37</v>
      </c>
    </row>
    <row r="42" spans="1:16" x14ac:dyDescent="0.2">
      <c r="A42" s="86">
        <v>38</v>
      </c>
    </row>
    <row r="43" spans="1:16" x14ac:dyDescent="0.2">
      <c r="A43" s="64"/>
    </row>
  </sheetData>
  <sheetProtection selectLockedCells="1"/>
  <mergeCells count="4">
    <mergeCell ref="P27:P29"/>
    <mergeCell ref="M3:N3"/>
    <mergeCell ref="B3:E3"/>
    <mergeCell ref="I3:J3"/>
  </mergeCells>
  <phoneticPr fontId="0" type="noConversion"/>
  <printOptions horizontalCentered="1"/>
  <pageMargins left="0.75" right="0.75" top="1" bottom="1" header="0.5" footer="0.5"/>
  <pageSetup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SWMS</vt:lpstr>
      <vt:lpstr>Data</vt:lpstr>
      <vt:lpstr>Bedding</vt:lpstr>
      <vt:lpstr>SWMS!Print_Area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Silagyi</dc:creator>
  <cp:lastModifiedBy>Ranee Buck</cp:lastModifiedBy>
  <cp:lastPrinted>2017-08-02T16:38:28Z</cp:lastPrinted>
  <dcterms:created xsi:type="dcterms:W3CDTF">1999-07-28T20:17:59Z</dcterms:created>
  <dcterms:modified xsi:type="dcterms:W3CDTF">2020-06-10T19:45:22Z</dcterms:modified>
</cp:coreProperties>
</file>